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nue\Google Drive\Anuario\Sector Agrario\"/>
    </mc:Choice>
  </mc:AlternateContent>
  <xr:revisionPtr revIDLastSave="0" documentId="13_ncr:1_{6C4270F5-AC9A-402A-924B-4A6765264063}" xr6:coauthVersionLast="36" xr6:coauthVersionMax="47" xr10:uidLastSave="{00000000-0000-0000-0000-000000000000}"/>
  <bookViews>
    <workbookView xWindow="0" yWindow="0" windowWidth="28800" windowHeight="11925" firstSheet="2" activeTab="16" xr2:uid="{00000000-000D-0000-FFFF-FFFF00000000}"/>
  </bookViews>
  <sheets>
    <sheet name="C1" sheetId="44" r:id="rId1"/>
    <sheet name="C 2" sheetId="41" r:id="rId2"/>
    <sheet name="C 3" sheetId="42" r:id="rId3"/>
    <sheet name="C 4" sheetId="43" r:id="rId4"/>
    <sheet name="C 5" sheetId="35" r:id="rId5"/>
    <sheet name="C 6" sheetId="36" r:id="rId6"/>
    <sheet name="C 7" sheetId="37" r:id="rId7"/>
    <sheet name="C 8" sheetId="38" r:id="rId8"/>
    <sheet name="C 9" sheetId="39" r:id="rId9"/>
    <sheet name="C 10" sheetId="17" r:id="rId10"/>
    <sheet name="C 11" sheetId="18" r:id="rId11"/>
    <sheet name="C 12" sheetId="19" r:id="rId12"/>
    <sheet name="C 13" sheetId="20" r:id="rId13"/>
    <sheet name="C 14" sheetId="21" r:id="rId14"/>
    <sheet name="C 15" sheetId="22" r:id="rId15"/>
    <sheet name="C 16" sheetId="23" r:id="rId16"/>
    <sheet name="C 17" sheetId="24" r:id="rId17"/>
    <sheet name="C 18" sheetId="25" r:id="rId18"/>
    <sheet name="C 19" sheetId="27" r:id="rId19"/>
    <sheet name="C 20" sheetId="29" r:id="rId20"/>
    <sheet name="C 21" sheetId="34" r:id="rId21"/>
    <sheet name="C 22" sheetId="26" r:id="rId22"/>
  </sheets>
  <externalReferences>
    <externalReference r:id="rId23"/>
    <externalReference r:id="rId24"/>
    <externalReference r:id="rId25"/>
    <externalReference r:id="rId26"/>
  </externalReferences>
  <definedNames>
    <definedName name="__123Graph_AGRAFICO1" hidden="1">'[1]datos gráfico 2'!$B$10:$I$10</definedName>
    <definedName name="__123Graph_BGRAFICO1" hidden="1">'[1]datos gráfico 2'!$B$20:$I$20</definedName>
    <definedName name="__123Graph_BGRAFICO3" hidden="1">[2]A!#REF!</definedName>
    <definedName name="__123Graph_C" hidden="1">'[1]datos gráfico 2'!$B$20:$F$20</definedName>
    <definedName name="__123Graph_CGRAFICO1" hidden="1">[3]A!#REF!</definedName>
    <definedName name="__123Graph_DGRAFICO3" hidden="1">[2]A!#REF!</definedName>
    <definedName name="__123Graph_LBL_AGRAFICO1" hidden="1">'[1]datos gráfico 2'!$B$10:$I$10</definedName>
    <definedName name="__123Graph_LBL_BGRAFICO1" hidden="1">'[1]datos gráfico 2'!$B$20:$I$20</definedName>
    <definedName name="__123Graph_LBL_BGRAFICO3" hidden="1">[2]A!#REF!</definedName>
    <definedName name="__123Graph_LBL_DGRAFICO3" hidden="1">[2]A!#REF!</definedName>
    <definedName name="__123Graph_XGRAFICO1" hidden="1">'[1]datos gráfico 2'!$B$6:$I$6</definedName>
    <definedName name="_1__123Graph_AGRAFICO_3" hidden="1">#REF!</definedName>
    <definedName name="_11__123Graph_XGRAFICO_3" hidden="1">'[4]cadro 16'!#REF!</definedName>
    <definedName name="_2__123Graph_BGRAFICO_3" hidden="1">'[4]cadro 16'!#REF!</definedName>
    <definedName name="_3__123Graph_XGRAFICO_3" hidden="1">'[4]cadro 16'!#REF!</definedName>
    <definedName name="_5__123Graph_AGRAFICO_3" hidden="1">#REF!</definedName>
    <definedName name="_8__123Graph_BGRAFICO_3" hidden="1">'[4]cadro 16'!#REF!</definedName>
  </definedNames>
  <calcPr calcId="191029"/>
</workbook>
</file>

<file path=xl/calcChain.xml><?xml version="1.0" encoding="utf-8"?>
<calcChain xmlns="http://schemas.openxmlformats.org/spreadsheetml/2006/main">
  <c r="C7" i="42" l="1"/>
  <c r="B7" i="42"/>
  <c r="C6" i="42"/>
  <c r="B6" i="42"/>
  <c r="C5" i="42"/>
  <c r="B5" i="42"/>
  <c r="D22" i="25"/>
  <c r="D24" i="24"/>
  <c r="D23" i="24"/>
  <c r="F18" i="24"/>
  <c r="C17" i="24"/>
  <c r="E17" i="24" s="1"/>
  <c r="E23" i="24" s="1"/>
  <c r="B17" i="24"/>
  <c r="B18" i="24" s="1"/>
  <c r="B24" i="24" s="1"/>
  <c r="D12" i="26"/>
  <c r="D11" i="26"/>
  <c r="D10" i="26"/>
  <c r="C11" i="26"/>
  <c r="C10" i="26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K23" i="22"/>
  <c r="K12" i="22"/>
  <c r="H23" i="22" s="1"/>
  <c r="G23" i="22"/>
  <c r="J12" i="22"/>
  <c r="C24" i="22"/>
  <c r="B24" i="22"/>
  <c r="C22" i="22"/>
  <c r="B22" i="22"/>
  <c r="C20" i="22"/>
  <c r="B20" i="22"/>
  <c r="C18" i="22"/>
  <c r="B18" i="22"/>
  <c r="C23" i="22"/>
  <c r="B23" i="22"/>
  <c r="C21" i="22"/>
  <c r="B21" i="22"/>
  <c r="C19" i="22"/>
  <c r="B19" i="22"/>
  <c r="C17" i="22"/>
  <c r="B17" i="22"/>
  <c r="F6" i="43"/>
  <c r="F5" i="43"/>
  <c r="F7" i="43" s="1"/>
  <c r="I23" i="22" l="1"/>
  <c r="C23" i="24"/>
  <c r="C18" i="24"/>
  <c r="B23" i="24"/>
  <c r="F17" i="24"/>
  <c r="F23" i="24" s="1"/>
  <c r="C24" i="24" l="1"/>
  <c r="E18" i="24"/>
  <c r="E24" i="24" s="1"/>
  <c r="F24" i="24"/>
  <c r="E24" i="22" l="1"/>
  <c r="D24" i="22"/>
  <c r="E23" i="22"/>
  <c r="D23" i="22"/>
  <c r="F24" i="22"/>
  <c r="F23" i="22"/>
  <c r="G24" i="22"/>
  <c r="G22" i="22"/>
  <c r="F22" i="22"/>
  <c r="E22" i="22"/>
  <c r="D22" i="22"/>
  <c r="G21" i="22"/>
  <c r="F21" i="22"/>
  <c r="E21" i="22"/>
  <c r="D21" i="22"/>
  <c r="G20" i="22"/>
  <c r="F20" i="22"/>
  <c r="E20" i="22"/>
  <c r="D20" i="22"/>
  <c r="G19" i="22"/>
  <c r="F19" i="22"/>
  <c r="E19" i="22"/>
  <c r="D19" i="22"/>
  <c r="G18" i="22"/>
  <c r="F18" i="22"/>
  <c r="E18" i="22"/>
  <c r="D18" i="22"/>
  <c r="G17" i="22"/>
  <c r="F17" i="22"/>
  <c r="E17" i="22"/>
  <c r="D17" i="22"/>
  <c r="H22" i="22"/>
  <c r="H21" i="22"/>
  <c r="H20" i="22"/>
  <c r="H19" i="22"/>
  <c r="H18" i="22"/>
  <c r="I24" i="22"/>
  <c r="I22" i="22"/>
  <c r="I21" i="22"/>
  <c r="I20" i="22"/>
  <c r="I19" i="22"/>
  <c r="I18" i="22"/>
  <c r="K24" i="22"/>
  <c r="K22" i="22"/>
  <c r="K21" i="22"/>
  <c r="K20" i="22"/>
  <c r="K19" i="22"/>
  <c r="K18" i="22"/>
  <c r="K6" i="22"/>
  <c r="I17" i="22" s="1"/>
  <c r="H17" i="22" l="1"/>
  <c r="J22" i="21"/>
  <c r="J21" i="21"/>
  <c r="J18" i="21"/>
  <c r="J17" i="21"/>
  <c r="J16" i="21"/>
  <c r="J15" i="21"/>
  <c r="J14" i="21"/>
  <c r="J12" i="21"/>
  <c r="J11" i="21"/>
  <c r="J9" i="21"/>
  <c r="J8" i="21"/>
  <c r="J7" i="21"/>
  <c r="I22" i="21"/>
  <c r="I21" i="21"/>
  <c r="I18" i="21"/>
  <c r="I17" i="21"/>
  <c r="I16" i="21"/>
  <c r="I15" i="21"/>
  <c r="I14" i="21"/>
  <c r="I12" i="21"/>
  <c r="I11" i="21"/>
  <c r="I9" i="21"/>
  <c r="I8" i="21"/>
  <c r="I7" i="21"/>
  <c r="H22" i="21"/>
  <c r="H21" i="21"/>
  <c r="H18" i="21"/>
  <c r="H17" i="21"/>
  <c r="H16" i="21"/>
  <c r="H15" i="21"/>
  <c r="H14" i="21"/>
  <c r="H12" i="21"/>
  <c r="H11" i="21"/>
  <c r="H9" i="21"/>
  <c r="H8" i="21"/>
  <c r="H7" i="21"/>
  <c r="G6" i="21"/>
  <c r="I6" i="21" s="1"/>
  <c r="F6" i="21"/>
  <c r="G10" i="21"/>
  <c r="F10" i="21"/>
  <c r="H10" i="21" s="1"/>
  <c r="G20" i="21"/>
  <c r="G19" i="21" s="1"/>
  <c r="F20" i="21"/>
  <c r="F19" i="21" s="1"/>
  <c r="G13" i="21"/>
  <c r="F13" i="21"/>
  <c r="J13" i="21" s="1"/>
  <c r="D19" i="21"/>
  <c r="D13" i="21"/>
  <c r="D6" i="21"/>
  <c r="E19" i="21"/>
  <c r="E13" i="21"/>
  <c r="E6" i="21"/>
  <c r="D31" i="27"/>
  <c r="D30" i="27"/>
  <c r="B31" i="27"/>
  <c r="B30" i="27"/>
  <c r="E23" i="27"/>
  <c r="E22" i="27"/>
  <c r="C23" i="27"/>
  <c r="C22" i="27"/>
  <c r="K20" i="38"/>
  <c r="J20" i="38"/>
  <c r="I20" i="38"/>
  <c r="K8" i="36"/>
  <c r="K14" i="36" s="1"/>
  <c r="J8" i="36"/>
  <c r="J14" i="36" s="1"/>
  <c r="I8" i="36"/>
  <c r="I14" i="36" s="1"/>
  <c r="K8" i="35"/>
  <c r="J8" i="35"/>
  <c r="J14" i="35" s="1"/>
  <c r="I8" i="35"/>
  <c r="I14" i="35" s="1"/>
  <c r="E11" i="38"/>
  <c r="F11" i="38"/>
  <c r="G11" i="38"/>
  <c r="H11" i="38"/>
  <c r="E20" i="38"/>
  <c r="F20" i="38"/>
  <c r="G20" i="38"/>
  <c r="H20" i="38"/>
  <c r="E14" i="37"/>
  <c r="F14" i="37"/>
  <c r="G14" i="37"/>
  <c r="H14" i="37"/>
  <c r="E14" i="35"/>
  <c r="F14" i="35"/>
  <c r="G14" i="35"/>
  <c r="H14" i="35"/>
  <c r="H22" i="35" s="1"/>
  <c r="E17" i="35"/>
  <c r="F17" i="35"/>
  <c r="G17" i="35"/>
  <c r="I20" i="21" l="1"/>
  <c r="I13" i="21"/>
  <c r="I10" i="21"/>
  <c r="J10" i="21"/>
  <c r="J6" i="21"/>
  <c r="H20" i="21"/>
  <c r="I23" i="35"/>
  <c r="I19" i="35"/>
  <c r="I22" i="35"/>
  <c r="I18" i="35"/>
  <c r="I21" i="35"/>
  <c r="I17" i="35"/>
  <c r="I20" i="35"/>
  <c r="I16" i="35"/>
  <c r="J23" i="35"/>
  <c r="J21" i="35"/>
  <c r="J19" i="35"/>
  <c r="J17" i="35"/>
  <c r="J22" i="35"/>
  <c r="J20" i="35"/>
  <c r="J18" i="35"/>
  <c r="J16" i="35"/>
  <c r="K14" i="35"/>
  <c r="H19" i="21"/>
  <c r="J19" i="21"/>
  <c r="I19" i="21"/>
  <c r="H13" i="21"/>
  <c r="H6" i="21"/>
  <c r="J20" i="21"/>
  <c r="H20" i="35"/>
  <c r="H19" i="35"/>
  <c r="H21" i="35"/>
  <c r="H18" i="35"/>
  <c r="H16" i="35"/>
  <c r="K23" i="35" l="1"/>
  <c r="K21" i="35"/>
  <c r="K19" i="35"/>
  <c r="K22" i="35"/>
  <c r="K20" i="35"/>
  <c r="K18" i="35"/>
  <c r="K16" i="35"/>
  <c r="K17" i="35"/>
  <c r="H17" i="35"/>
  <c r="H23" i="35" s="1"/>
  <c r="G28" i="20" l="1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E29" i="20"/>
  <c r="D29" i="20"/>
  <c r="D28" i="20"/>
  <c r="K31" i="17"/>
  <c r="K23" i="17"/>
  <c r="K21" i="17"/>
  <c r="J21" i="17"/>
  <c r="J23" i="17"/>
  <c r="J22" i="17"/>
  <c r="I23" i="17"/>
  <c r="H23" i="17"/>
  <c r="G23" i="17"/>
  <c r="F23" i="17"/>
  <c r="E23" i="17"/>
  <c r="D23" i="17"/>
  <c r="I22" i="17"/>
  <c r="H22" i="17"/>
  <c r="G22" i="17"/>
  <c r="F22" i="17"/>
  <c r="E22" i="17"/>
  <c r="D22" i="17"/>
  <c r="C23" i="17"/>
  <c r="C22" i="17"/>
  <c r="J31" i="17"/>
  <c r="J30" i="17"/>
  <c r="I30" i="17"/>
  <c r="H30" i="17"/>
  <c r="G30" i="17"/>
  <c r="F30" i="17"/>
  <c r="E30" i="17"/>
  <c r="D30" i="17"/>
  <c r="C30" i="17"/>
  <c r="K18" i="17"/>
  <c r="K22" i="17" s="1"/>
  <c r="K17" i="17"/>
  <c r="K30" i="17" s="1"/>
  <c r="I31" i="17"/>
  <c r="H31" i="17"/>
  <c r="G31" i="17"/>
  <c r="F31" i="17"/>
  <c r="E31" i="17"/>
  <c r="D31" i="17"/>
  <c r="C31" i="17"/>
  <c r="H26" i="34"/>
  <c r="G26" i="34"/>
  <c r="F26" i="34"/>
  <c r="H25" i="34"/>
  <c r="G25" i="34"/>
  <c r="F25" i="34"/>
  <c r="H24" i="34"/>
  <c r="G24" i="34"/>
  <c r="F24" i="34"/>
  <c r="H23" i="34"/>
  <c r="G23" i="34"/>
  <c r="F23" i="34"/>
  <c r="H22" i="34"/>
  <c r="G22" i="34"/>
  <c r="F22" i="34"/>
  <c r="H21" i="34"/>
  <c r="G21" i="34"/>
  <c r="G27" i="34" s="1"/>
  <c r="F21" i="34"/>
  <c r="H20" i="34"/>
  <c r="H27" i="34" s="1"/>
  <c r="G20" i="34"/>
  <c r="F20" i="34"/>
  <c r="E26" i="34"/>
  <c r="D26" i="34"/>
  <c r="C26" i="34"/>
  <c r="E25" i="34"/>
  <c r="D25" i="34"/>
  <c r="C25" i="34"/>
  <c r="E24" i="34"/>
  <c r="D24" i="34"/>
  <c r="C24" i="34"/>
  <c r="E23" i="34"/>
  <c r="D23" i="34"/>
  <c r="C23" i="34"/>
  <c r="E22" i="34"/>
  <c r="D22" i="34"/>
  <c r="C22" i="34"/>
  <c r="E21" i="34"/>
  <c r="D21" i="34"/>
  <c r="C21" i="34"/>
  <c r="E20" i="34"/>
  <c r="D20" i="34"/>
  <c r="C20" i="34"/>
  <c r="C27" i="34" s="1"/>
  <c r="B26" i="34"/>
  <c r="B25" i="34"/>
  <c r="B24" i="34"/>
  <c r="B23" i="34"/>
  <c r="B22" i="34"/>
  <c r="B21" i="34"/>
  <c r="B20" i="34"/>
  <c r="B27" i="34" s="1"/>
  <c r="J18" i="29"/>
  <c r="J17" i="29"/>
  <c r="I6" i="29"/>
  <c r="J6" i="29"/>
  <c r="J16" i="29" s="1"/>
  <c r="J19" i="29"/>
  <c r="I19" i="29"/>
  <c r="I18" i="29"/>
  <c r="I17" i="29"/>
  <c r="J14" i="29"/>
  <c r="I14" i="29"/>
  <c r="H14" i="29"/>
  <c r="G14" i="29"/>
  <c r="F14" i="29"/>
  <c r="E14" i="29"/>
  <c r="J13" i="29"/>
  <c r="I13" i="29"/>
  <c r="H13" i="29"/>
  <c r="G13" i="29"/>
  <c r="F13" i="29"/>
  <c r="E13" i="29"/>
  <c r="J12" i="29"/>
  <c r="I12" i="29"/>
  <c r="H12" i="29"/>
  <c r="G12" i="29"/>
  <c r="F12" i="29"/>
  <c r="E12" i="29"/>
  <c r="D14" i="29"/>
  <c r="D13" i="29"/>
  <c r="D12" i="29"/>
  <c r="H6" i="29"/>
  <c r="G6" i="29"/>
  <c r="F6" i="29"/>
  <c r="E6" i="29"/>
  <c r="D6" i="29"/>
  <c r="C6" i="29"/>
  <c r="I15" i="26"/>
  <c r="I14" i="26"/>
  <c r="I16" i="26"/>
  <c r="I12" i="26"/>
  <c r="I11" i="26"/>
  <c r="I10" i="26"/>
  <c r="H16" i="26"/>
  <c r="H15" i="26"/>
  <c r="H14" i="26"/>
  <c r="H12" i="26"/>
  <c r="H11" i="26"/>
  <c r="H10" i="26"/>
  <c r="D27" i="34" l="1"/>
  <c r="E27" i="34"/>
  <c r="F27" i="34"/>
  <c r="G11" i="29"/>
  <c r="I11" i="29"/>
  <c r="E11" i="29"/>
  <c r="I16" i="29"/>
  <c r="J11" i="29"/>
  <c r="D11" i="29"/>
  <c r="H11" i="29"/>
  <c r="F11" i="29"/>
</calcChain>
</file>

<file path=xl/sharedStrings.xml><?xml version="1.0" encoding="utf-8"?>
<sst xmlns="http://schemas.openxmlformats.org/spreadsheetml/2006/main" count="511" uniqueCount="334">
  <si>
    <t>Cadro núm. 1</t>
  </si>
  <si>
    <t>Cadro núm. 7</t>
  </si>
  <si>
    <t>Galicia</t>
  </si>
  <si>
    <t>España</t>
  </si>
  <si>
    <t>Total</t>
  </si>
  <si>
    <t>Cadro núm. 3</t>
  </si>
  <si>
    <t>Cadro núm. 5</t>
  </si>
  <si>
    <t>Cadro núm. 6</t>
  </si>
  <si>
    <t>Cadro núm. 8</t>
  </si>
  <si>
    <t>Cadro núm. 9</t>
  </si>
  <si>
    <t>Cadro núm. 10</t>
  </si>
  <si>
    <t>Cadro núm. 11</t>
  </si>
  <si>
    <t>Cadro núm. 13</t>
  </si>
  <si>
    <t>Cadro núm. 2</t>
  </si>
  <si>
    <t>Cadro núm. 4</t>
  </si>
  <si>
    <t>TVI (%)</t>
  </si>
  <si>
    <t>Galicia/España (%)</t>
  </si>
  <si>
    <t>Millóns de euros correntes</t>
  </si>
  <si>
    <t>Fonte: Elaboración propia a partir de:</t>
  </si>
  <si>
    <t>Cifras absolutas</t>
  </si>
  <si>
    <t>% variación</t>
  </si>
  <si>
    <t>1990-2000</t>
  </si>
  <si>
    <t>*Rama Agricultura, gandería, caza e actividades dos servizos relacionados.</t>
  </si>
  <si>
    <t>(B)
Consumos
intermedios</t>
  </si>
  <si>
    <t>(C = A-B)
VEB a
prezos
básicos</t>
  </si>
  <si>
    <t>(E)
Outras
subvencións
á produción</t>
  </si>
  <si>
    <t>(F)
Outros
impostos
sobre a
produción</t>
  </si>
  <si>
    <t>Renda
agraria
(VENcf)
(C-D+E-F)</t>
  </si>
  <si>
    <t>Poboación
ocupada
(miles)</t>
  </si>
  <si>
    <t>Renda agraria/
ocupado
(miles de
euros)</t>
  </si>
  <si>
    <t>Taxas de variación anuais (en %)</t>
  </si>
  <si>
    <t>*</t>
  </si>
  <si>
    <t>Man de obra (ocupados)</t>
  </si>
  <si>
    <t>Renda/ocupado</t>
  </si>
  <si>
    <t>Man de obra (UTA)</t>
  </si>
  <si>
    <t>Renda/UTA</t>
  </si>
  <si>
    <t xml:space="preserve">   - INE, EPA.</t>
  </si>
  <si>
    <t>Datos corrixidos de efectos estacionais e de calendario</t>
  </si>
  <si>
    <t xml:space="preserve">        I trim.</t>
  </si>
  <si>
    <t xml:space="preserve">        II trim.</t>
  </si>
  <si>
    <t xml:space="preserve">        III trim.</t>
  </si>
  <si>
    <t xml:space="preserve">        IV trim.</t>
  </si>
  <si>
    <t>Fonte: IGE e INE.</t>
  </si>
  <si>
    <t>Variación real do VEB a prezos básicos das ramas agraria e pesqueira</t>
  </si>
  <si>
    <t>Taxas de variación interanuais (en %)</t>
  </si>
  <si>
    <t>Estrutura da produción agraria (en %)</t>
  </si>
  <si>
    <t>Produción vexetal</t>
  </si>
  <si>
    <t xml:space="preserve">   Cereais</t>
  </si>
  <si>
    <t xml:space="preserve">   Plantas forraxeiras</t>
  </si>
  <si>
    <t xml:space="preserve">   Patacas</t>
  </si>
  <si>
    <t xml:space="preserve">   Viño e mosto</t>
  </si>
  <si>
    <t xml:space="preserve">   Outros</t>
  </si>
  <si>
    <t>Produción animal</t>
  </si>
  <si>
    <t xml:space="preserve">   Leite</t>
  </si>
  <si>
    <t>Produción rama agraria</t>
  </si>
  <si>
    <t>* Relación entre o peso relativo de cada produción en Galicia e o que ten en España.</t>
  </si>
  <si>
    <t>Índices de</t>
  </si>
  <si>
    <t>de Galicia*</t>
  </si>
  <si>
    <t xml:space="preserve">especialización </t>
  </si>
  <si>
    <t xml:space="preserve">Peso de </t>
  </si>
  <si>
    <t xml:space="preserve">Galicia no total </t>
  </si>
  <si>
    <t>español (%)</t>
  </si>
  <si>
    <t xml:space="preserve">  Carne e gando</t>
  </si>
  <si>
    <t xml:space="preserve">      Bovino</t>
  </si>
  <si>
    <t xml:space="preserve">      Porcino</t>
  </si>
  <si>
    <t xml:space="preserve">      Equino</t>
  </si>
  <si>
    <t xml:space="preserve">      Ovino e caprino</t>
  </si>
  <si>
    <t xml:space="preserve">      Aves</t>
  </si>
  <si>
    <t xml:space="preserve">      Coellos e outros</t>
  </si>
  <si>
    <t>Servizos e actividades
secundarias non agrarias</t>
  </si>
  <si>
    <t xml:space="preserve">  Produtos animais</t>
  </si>
  <si>
    <t xml:space="preserve">      Leite</t>
  </si>
  <si>
    <t xml:space="preserve">      Ovos</t>
  </si>
  <si>
    <t xml:space="preserve">      Outros</t>
  </si>
  <si>
    <t>Evolución das principais producións agrícolas en volume en Galicia*</t>
  </si>
  <si>
    <t>Produción (miles de toneladas)</t>
  </si>
  <si>
    <t>Cereais en gran</t>
  </si>
  <si>
    <t>Leguminosas en gran</t>
  </si>
  <si>
    <t>Patacas</t>
  </si>
  <si>
    <t>Millo forraxeiro</t>
  </si>
  <si>
    <t>Hortalizas</t>
  </si>
  <si>
    <t>Froitas</t>
  </si>
  <si>
    <t>Uva de vinificación</t>
  </si>
  <si>
    <t xml:space="preserve">   Trigo</t>
  </si>
  <si>
    <t xml:space="preserve">   Centeo</t>
  </si>
  <si>
    <t xml:space="preserve">   Millo</t>
  </si>
  <si>
    <t xml:space="preserve">   Leituga</t>
  </si>
  <si>
    <t xml:space="preserve">   Tomate</t>
  </si>
  <si>
    <t xml:space="preserve">   Pemento</t>
  </si>
  <si>
    <t xml:space="preserve">   Cebola</t>
  </si>
  <si>
    <t xml:space="preserve">   Feixón verde</t>
  </si>
  <si>
    <t xml:space="preserve">   Pera</t>
  </si>
  <si>
    <t>Evolución das principais producións gandeiras en volume en Galicia</t>
  </si>
  <si>
    <t>Volume de produción en cada ano</t>
  </si>
  <si>
    <t>Taxa de variación acumulativa anual (%)</t>
  </si>
  <si>
    <t>%
variación</t>
  </si>
  <si>
    <t>Galicia/
España (%)</t>
  </si>
  <si>
    <t>1985</t>
  </si>
  <si>
    <t>A. Prezos percibidos*</t>
  </si>
  <si>
    <t>Produtos agrícolas</t>
  </si>
  <si>
    <t xml:space="preserve">     Cereais</t>
  </si>
  <si>
    <t xml:space="preserve">     Leguminosas</t>
  </si>
  <si>
    <t xml:space="preserve">     Patacas</t>
  </si>
  <si>
    <t xml:space="preserve">     Cítricos</t>
  </si>
  <si>
    <t xml:space="preserve">     Hortalizas</t>
  </si>
  <si>
    <t xml:space="preserve">     Viño e subprodutos</t>
  </si>
  <si>
    <t xml:space="preserve">     Flores e plantas ornamentais</t>
  </si>
  <si>
    <t xml:space="preserve">     Cultivos forraxeiros</t>
  </si>
  <si>
    <t>Produtos animais</t>
  </si>
  <si>
    <t xml:space="preserve">     Leite</t>
  </si>
  <si>
    <t xml:space="preserve">     Carne e gando bovino</t>
  </si>
  <si>
    <t xml:space="preserve">     Carne e gando porcino</t>
  </si>
  <si>
    <t xml:space="preserve">     Carne e gando aviar</t>
  </si>
  <si>
    <t xml:space="preserve">     Carne e gando ovino</t>
  </si>
  <si>
    <t xml:space="preserve">     Carne e gando caprino</t>
  </si>
  <si>
    <t xml:space="preserve">     Carne e gando coellos</t>
  </si>
  <si>
    <t xml:space="preserve">     Ovos</t>
  </si>
  <si>
    <t>Índice xeral de prezos percibidos</t>
  </si>
  <si>
    <t>B. Prezos pagados**</t>
  </si>
  <si>
    <t>Sementes selectas e pés</t>
  </si>
  <si>
    <t>Alimentos para o gando</t>
  </si>
  <si>
    <t>Fertilizantes</t>
  </si>
  <si>
    <t>Enerxía e lubricantes</t>
  </si>
  <si>
    <t>Protección fitopatolóxica</t>
  </si>
  <si>
    <t>Tratamentos zoosanitarios</t>
  </si>
  <si>
    <t xml:space="preserve">Conservación e reparación de maquinaria </t>
  </si>
  <si>
    <t>Conservación e reparación de edificios</t>
  </si>
  <si>
    <t>Índice xeral de prezos pagados</t>
  </si>
  <si>
    <t>IPC</t>
  </si>
  <si>
    <t xml:space="preserve">   - INE.</t>
  </si>
  <si>
    <t>Prezo</t>
  </si>
  <si>
    <t xml:space="preserve">   Froitas</t>
  </si>
  <si>
    <t xml:space="preserve">   Hortalizas</t>
  </si>
  <si>
    <t xml:space="preserve">   Viño</t>
  </si>
  <si>
    <t xml:space="preserve">   Cultivos forraxeiros</t>
  </si>
  <si>
    <t xml:space="preserve">   Carne e gando vacún</t>
  </si>
  <si>
    <t xml:space="preserve">   Carne e gando porcino</t>
  </si>
  <si>
    <t xml:space="preserve">   Carne e gando aviar</t>
  </si>
  <si>
    <t xml:space="preserve">   Carne e gando ovino</t>
  </si>
  <si>
    <t xml:space="preserve">   Carne e gando caprino</t>
  </si>
  <si>
    <t>Produción agraria</t>
  </si>
  <si>
    <t>Volume de
produción</t>
  </si>
  <si>
    <t>Valor da
produción</t>
  </si>
  <si>
    <t>Número
(miles)</t>
  </si>
  <si>
    <t>Índices
(1985=100)</t>
  </si>
  <si>
    <t>1995/1985</t>
  </si>
  <si>
    <t>2008/1995</t>
  </si>
  <si>
    <t>2015/2008</t>
  </si>
  <si>
    <t>Taxas de variación media
acumulativa anual (%)</t>
  </si>
  <si>
    <t>Evolución da poboación ocupada no sector agrario en Galicia e en España</t>
  </si>
  <si>
    <t>(medias anuais)</t>
  </si>
  <si>
    <t>Vacas</t>
  </si>
  <si>
    <t>Miles de cabezas</t>
  </si>
  <si>
    <t>Porcos da ceba</t>
  </si>
  <si>
    <t>Porcas reprodutoras</t>
  </si>
  <si>
    <t>Índices (Base 1987=100)</t>
  </si>
  <si>
    <t>Porcentaxe de variación dos prezos percibidos e pagados polos agricultores en Galicia</t>
  </si>
  <si>
    <t>Evolución dos índices de prezos percibidos e pagados polos agricultores galegos</t>
  </si>
  <si>
    <t>Total bovinos</t>
  </si>
  <si>
    <t xml:space="preserve">   Resto</t>
  </si>
  <si>
    <t xml:space="preserve">   Leiteiras</t>
  </si>
  <si>
    <t>2019/2018</t>
  </si>
  <si>
    <t xml:space="preserve">   2019/2018</t>
  </si>
  <si>
    <t xml:space="preserve">   2020/2019</t>
  </si>
  <si>
    <t>2017/2015</t>
  </si>
  <si>
    <t xml:space="preserve">     Froitas non cítricas</t>
  </si>
  <si>
    <t>50-99</t>
  </si>
  <si>
    <t>30-49</t>
  </si>
  <si>
    <t>20-29</t>
  </si>
  <si>
    <t>10-19</t>
  </si>
  <si>
    <t>1-9</t>
  </si>
  <si>
    <t xml:space="preserve"> </t>
  </si>
  <si>
    <t>Tamaño</t>
  </si>
  <si>
    <t>(número
de bovinos)</t>
  </si>
  <si>
    <t>Evolución da renda global e da renda por ocupado no sector agrario en Galicia, España e a UE</t>
  </si>
  <si>
    <t>Unión Europea (UE-27)</t>
  </si>
  <si>
    <t>2020/2019</t>
  </si>
  <si>
    <t>Leite</t>
  </si>
  <si>
    <t>Carne</t>
  </si>
  <si>
    <t>Mixtas
e outras</t>
  </si>
  <si>
    <t>Vacas de
muxidura</t>
  </si>
  <si>
    <t>B. Distribución porcentual</t>
  </si>
  <si>
    <t>&gt;=200</t>
  </si>
  <si>
    <t>100-199</t>
  </si>
  <si>
    <t>Vacas de 
non muxidura</t>
  </si>
  <si>
    <t>A. Número (miles)</t>
  </si>
  <si>
    <t>Explotacións</t>
  </si>
  <si>
    <t>Cadro núm. 12</t>
  </si>
  <si>
    <t>Estrutura dimensional das explotacións de bovino en Galicia. Ano 2021</t>
  </si>
  <si>
    <t>2000-2020</t>
  </si>
  <si>
    <t>1990-2020</t>
  </si>
  <si>
    <t>Total complexo</t>
  </si>
  <si>
    <t xml:space="preserve">     Industria de bebidas</t>
  </si>
  <si>
    <t xml:space="preserve">     Outras industrias alimentarias</t>
  </si>
  <si>
    <t xml:space="preserve">     Industria alimentación animal</t>
  </si>
  <si>
    <t xml:space="preserve">     Industria láctea</t>
  </si>
  <si>
    <t xml:space="preserve">     Industria cárnica</t>
  </si>
  <si>
    <t>Industria agroalimentaria</t>
  </si>
  <si>
    <t>Agricultura, gandería e caza</t>
  </si>
  <si>
    <t>% sobre o total do complexo</t>
  </si>
  <si>
    <t>Revisión estatística 2019</t>
  </si>
  <si>
    <t>Base 2000</t>
  </si>
  <si>
    <t>Postos de traballo equivalentes a tempo completo (miles)</t>
  </si>
  <si>
    <t>Postos de traballo (%)</t>
  </si>
  <si>
    <t>VEB (%)</t>
  </si>
  <si>
    <t>Fabricación de mobles</t>
  </si>
  <si>
    <t>Industria do papel</t>
  </si>
  <si>
    <t>Industria da madeira e da cortiza</t>
  </si>
  <si>
    <t>Silvicultura, explotación forestal
e actividades dos servizos relacionados</t>
  </si>
  <si>
    <t xml:space="preserve">    Postos de traballo (miles)</t>
  </si>
  <si>
    <t xml:space="preserve">    Millóns de euros correntes</t>
  </si>
  <si>
    <t>Evolución do emprego no complexo agroalimentario en Galicia. Período 1995-2020</t>
  </si>
  <si>
    <t>2022/2017</t>
  </si>
  <si>
    <t>2022/2008</t>
  </si>
  <si>
    <t xml:space="preserve">   Mazá</t>
  </si>
  <si>
    <t>2021/2020</t>
  </si>
  <si>
    <t>(2021-22)/
(2015-16)</t>
  </si>
  <si>
    <t>Variación (%)</t>
  </si>
  <si>
    <t>2022*</t>
  </si>
  <si>
    <t>** No caso dos ovos a variación é de 1985 a 2021.</t>
  </si>
  <si>
    <t>2005/
2017</t>
  </si>
  <si>
    <t>2022/2021</t>
  </si>
  <si>
    <t>TVI (%) 2022/2021</t>
  </si>
  <si>
    <t>(A)
Produción
agraria</t>
  </si>
  <si>
    <t>* Os datos de 2022 e os dalgúns produtos para 2021 son provisionais.</t>
  </si>
  <si>
    <t>*Os datos de 1987, 1995 e 2000 son os de decembro. Para os demais anos corresponden a novembro. Os de 2022 son provisionais.</t>
  </si>
  <si>
    <t>*Os datos de 1987 e 1996 corresponden a decembro; para os demais anos corresponden a novembro. As cifras de 2022 son provisionais.</t>
  </si>
  <si>
    <t>SAU / explotación</t>
  </si>
  <si>
    <t>SAU (ha)</t>
  </si>
  <si>
    <t>&lt; 10 ha</t>
  </si>
  <si>
    <t>&gt;= 10 ha</t>
  </si>
  <si>
    <t>SAU</t>
  </si>
  <si>
    <t>SAU/explotación (ha)</t>
  </si>
  <si>
    <t>Os datos de 2020 son provisionais.</t>
  </si>
  <si>
    <t>Cadro núm. 14</t>
  </si>
  <si>
    <t>Cadro núm. 15</t>
  </si>
  <si>
    <t>Cadro núm. 16</t>
  </si>
  <si>
    <t>Cadro núm. 17</t>
  </si>
  <si>
    <t>Cadro núm. 18</t>
  </si>
  <si>
    <t xml:space="preserve">   Carne e gando coellos</t>
  </si>
  <si>
    <t xml:space="preserve">   Ovos</t>
  </si>
  <si>
    <t>Fonte: Elaboración propia a partir dos datos dos cadros 14, 15 e 16.</t>
  </si>
  <si>
    <t>Cadro núm. 19</t>
  </si>
  <si>
    <t>Cadro núm. 20</t>
  </si>
  <si>
    <t>Cadro núm. 21</t>
  </si>
  <si>
    <t>Cadro núm. 22</t>
  </si>
  <si>
    <t xml:space="preserve">   2021/2020</t>
  </si>
  <si>
    <t xml:space="preserve">   2022/2021</t>
  </si>
  <si>
    <t>** Os datos de 2021 son un avance e os de 2022 unha estimación.</t>
  </si>
  <si>
    <t>* Estimacións propias.</t>
  </si>
  <si>
    <t>Nº de explotacións</t>
  </si>
  <si>
    <t>TAV (%)
1982-1989</t>
  </si>
  <si>
    <t>TAV (%)
1989-1999</t>
  </si>
  <si>
    <t>TAV (%)
1999-2009</t>
  </si>
  <si>
    <t>TAV (%)
2009-2020</t>
  </si>
  <si>
    <t>TAV (%)
1982-2020</t>
  </si>
  <si>
    <r>
      <t xml:space="preserve">Fonte: elaboración propia a partir de INE, </t>
    </r>
    <r>
      <rPr>
        <i/>
        <sz val="13"/>
        <rFont val="Museo Sans 500"/>
        <family val="3"/>
      </rPr>
      <t>Censo Agrario 2020</t>
    </r>
    <r>
      <rPr>
        <sz val="13"/>
        <rFont val="Museo Sans 500"/>
        <family val="3"/>
      </rPr>
      <t xml:space="preserve"> e microdatos de
             </t>
    </r>
    <r>
      <rPr>
        <i/>
        <sz val="13"/>
        <rFont val="Museo Sans 500"/>
        <family val="3"/>
      </rPr>
      <t>Censos Agrarios.</t>
    </r>
  </si>
  <si>
    <t>Número e superficie das explotacións agrarias en Galicia</t>
  </si>
  <si>
    <t>Evolución 1982- 2020</t>
  </si>
  <si>
    <r>
      <t xml:space="preserve">Fonte: elaboración propia a partir de INE, </t>
    </r>
    <r>
      <rPr>
        <i/>
        <sz val="13"/>
        <rFont val="Museo Sans 500"/>
        <family val="3"/>
      </rPr>
      <t>Censo Agrario 2020.</t>
    </r>
  </si>
  <si>
    <t>Compoñentes ou determinantes da produción/explotación. 2020</t>
  </si>
  <si>
    <t>Evolución da SAU media por explotación en Galicia</t>
  </si>
  <si>
    <t>Compoñente Intensificación PET/
ha SAU (euros)</t>
  </si>
  <si>
    <t>Evolución do número de UTA* segundo a SAU das explotacións en Galicia</t>
  </si>
  <si>
    <t>* unidades de traballo ano.</t>
  </si>
  <si>
    <t>Evolución do valor engadido bruto (VEB) do complexo agroalimentario en Galicia</t>
  </si>
  <si>
    <r>
      <t xml:space="preserve">            - IGE, </t>
    </r>
    <r>
      <rPr>
        <i/>
        <sz val="13"/>
        <rFont val="Museo Sans 500"/>
        <family val="3"/>
      </rPr>
      <t>Contas Económicas. Base 2000. Serie 1995-2001</t>
    </r>
    <r>
      <rPr>
        <sz val="13"/>
        <rFont val="Museo Sans 500"/>
        <family val="3"/>
      </rPr>
      <t>.</t>
    </r>
  </si>
  <si>
    <r>
      <t xml:space="preserve">            - IGE, </t>
    </r>
    <r>
      <rPr>
        <i/>
        <sz val="13"/>
        <rFont val="Museo Sans 500"/>
        <family val="3"/>
      </rPr>
      <t>Contas Económicas de Galicia. Revisión estatística 2019. Serie 2000-2020</t>
    </r>
    <r>
      <rPr>
        <sz val="13"/>
        <rFont val="Museo Sans 500"/>
        <family val="3"/>
      </rPr>
      <t>.</t>
    </r>
  </si>
  <si>
    <r>
      <t xml:space="preserve">            - IGE, </t>
    </r>
    <r>
      <rPr>
        <i/>
        <sz val="13"/>
        <rFont val="Museo Sans 500"/>
        <family val="3"/>
      </rPr>
      <t>Contas Económicas. Base 2000. Serie 1995-2001</t>
    </r>
    <r>
      <rPr>
        <sz val="13"/>
        <rFont val="Museo Sans 500"/>
        <family val="3"/>
      </rPr>
      <t>.</t>
    </r>
  </si>
  <si>
    <r>
      <t xml:space="preserve">            - IGE, </t>
    </r>
    <r>
      <rPr>
        <i/>
        <sz val="13"/>
        <rFont val="Museo Sans 500"/>
        <family val="3"/>
      </rPr>
      <t>Contas Económicas de Galicia. Revisión estatística 2019. Serie 2000-2020</t>
    </r>
    <r>
      <rPr>
        <sz val="13"/>
        <rFont val="Museo Sans 500"/>
        <family val="3"/>
      </rPr>
      <t>.</t>
    </r>
  </si>
  <si>
    <t>Evolución do peso do complexo agroalimentario no conxunto da economía galega</t>
  </si>
  <si>
    <t>Valor engadido bruto</t>
  </si>
  <si>
    <t>Emprego</t>
  </si>
  <si>
    <t>Evolución do valor engadido e do emprego no complexo da madeira en Galicia</t>
  </si>
  <si>
    <t>Evolución do peso do complexo da madeira no conxunto da economía galega</t>
  </si>
  <si>
    <r>
      <t xml:space="preserve">    - MAPA (Ministerio de Agricultura, Pesca e Alimentación): </t>
    </r>
    <r>
      <rPr>
        <i/>
        <sz val="13"/>
        <color indexed="8"/>
        <rFont val="Museo Sans 500"/>
        <family val="3"/>
      </rPr>
      <t>Cuentas Económicas de la Agricultura. Resultados nacionales 1990-2020;
        Resultados Renta Agraria Regional (serie histórica 1990-2000); Cuentas Económicas de la Agricultura. Resultados regionales 2011-2020.</t>
    </r>
  </si>
  <si>
    <t>(D)
Amortizacións
(consumo
 de capital
fixo)</t>
  </si>
  <si>
    <t>Evolución das macromagnitudes do sector agrario galego e do seu peso na agricultura española*</t>
  </si>
  <si>
    <r>
      <t>Renda agraria</t>
    </r>
    <r>
      <rPr>
        <vertAlign val="superscript"/>
        <sz val="13"/>
        <rFont val="Museo Sans 500"/>
        <family val="3"/>
      </rPr>
      <t>1</t>
    </r>
  </si>
  <si>
    <r>
      <t xml:space="preserve">   - Eurostat, </t>
    </r>
    <r>
      <rPr>
        <i/>
        <sz val="13"/>
        <color indexed="8"/>
        <rFont val="Museo Sans 500"/>
        <family val="3"/>
      </rPr>
      <t>Economic Accounts for Agriculture</t>
    </r>
    <r>
      <rPr>
        <sz val="13"/>
        <color indexed="8"/>
        <rFont val="Museo Sans 500"/>
        <family val="3"/>
      </rPr>
      <t>.</t>
    </r>
  </si>
  <si>
    <r>
      <t xml:space="preserve">   - MAPA, </t>
    </r>
    <r>
      <rPr>
        <i/>
        <sz val="13"/>
        <color indexed="8"/>
        <rFont val="Museo Sans 500"/>
        <family val="3"/>
      </rPr>
      <t>Cuentas Económicas de la Agricultura.</t>
    </r>
    <r>
      <rPr>
        <sz val="13"/>
        <color indexed="8"/>
        <rFont val="Museo Sans 500"/>
        <family val="3"/>
      </rPr>
      <t xml:space="preserve"> Resultados nacionales. Resultados regionales.</t>
    </r>
  </si>
  <si>
    <t xml:space="preserve">    2022 **</t>
  </si>
  <si>
    <t xml:space="preserve">   2021 **</t>
  </si>
  <si>
    <r>
      <rPr>
        <vertAlign val="superscript"/>
        <sz val="13"/>
        <color rgb="FF000000"/>
        <rFont val="Museo Sans 500"/>
        <family val="3"/>
      </rPr>
      <t>1</t>
    </r>
    <r>
      <rPr>
        <sz val="13"/>
        <color indexed="8"/>
        <rFont val="Museo Sans 500"/>
        <family val="3"/>
      </rPr>
      <t xml:space="preserve"> VENcf en moeda constante.</t>
    </r>
  </si>
  <si>
    <t>Evolución da estrutura da produción agraria en Galicia; comparación con España</t>
  </si>
  <si>
    <r>
      <t xml:space="preserve">   Plantas industriais</t>
    </r>
    <r>
      <rPr>
        <vertAlign val="superscript"/>
        <sz val="13"/>
        <color theme="1"/>
        <rFont val="Museo Sans 500"/>
        <family val="3"/>
      </rPr>
      <t>1</t>
    </r>
  </si>
  <si>
    <r>
      <t xml:space="preserve">   Hortalizas</t>
    </r>
    <r>
      <rPr>
        <vertAlign val="superscript"/>
        <sz val="13"/>
        <color theme="1"/>
        <rFont val="Museo Sans 500"/>
        <family val="3"/>
      </rPr>
      <t>2</t>
    </r>
  </si>
  <si>
    <r>
      <t xml:space="preserve">   Froitas</t>
    </r>
    <r>
      <rPr>
        <vertAlign val="superscript"/>
        <sz val="13"/>
        <color theme="1"/>
        <rFont val="Museo Sans 500"/>
        <family val="3"/>
      </rPr>
      <t>3</t>
    </r>
  </si>
  <si>
    <r>
      <rPr>
        <vertAlign val="superscript"/>
        <sz val="13"/>
        <color theme="1"/>
        <rFont val="Museo Sans 500"/>
        <family val="3"/>
      </rPr>
      <t>1</t>
    </r>
    <r>
      <rPr>
        <sz val="13"/>
        <color theme="1"/>
        <rFont val="Museo Sans 500"/>
        <family val="3"/>
      </rPr>
      <t xml:space="preserve"> Inclúe remolacha, tabaco, algodón, xirasol e leguminosas en gran.</t>
    </r>
  </si>
  <si>
    <r>
      <rPr>
        <vertAlign val="superscript"/>
        <sz val="13"/>
        <color theme="1"/>
        <rFont val="Museo Sans 500"/>
        <family val="3"/>
      </rPr>
      <t>2</t>
    </r>
    <r>
      <rPr>
        <sz val="13"/>
        <color theme="1"/>
        <rFont val="Museo Sans 500"/>
        <family val="3"/>
      </rPr>
      <t xml:space="preserve"> Inclúe flores e plantas de viveiro.</t>
    </r>
  </si>
  <si>
    <r>
      <rPr>
        <vertAlign val="superscript"/>
        <sz val="13"/>
        <color theme="1"/>
        <rFont val="Museo Sans 500"/>
        <family val="3"/>
      </rPr>
      <t>3</t>
    </r>
    <r>
      <rPr>
        <sz val="13"/>
        <color theme="1"/>
        <rFont val="Museo Sans 500"/>
        <family val="3"/>
      </rPr>
      <t xml:space="preserve"> Inclúe froitas frescas, cítricos e uvas.</t>
    </r>
  </si>
  <si>
    <r>
      <t xml:space="preserve">Fonte: Elaboración propia a partir de MAPA: </t>
    </r>
    <r>
      <rPr>
        <i/>
        <sz val="13"/>
        <color theme="1"/>
        <rFont val="Museo Sans 500"/>
        <family val="3"/>
      </rPr>
      <t>Resultados Renta Agraria Regional (serie histórica 1990-2000); Cuentas Económicas de la 
              Agricultura. Resultados regionales 2011-2020.</t>
    </r>
  </si>
  <si>
    <r>
      <t xml:space="preserve">Fonte: MAPA, </t>
    </r>
    <r>
      <rPr>
        <i/>
        <sz val="13"/>
        <color theme="1"/>
        <rFont val="Museo Sans 500"/>
        <family val="3"/>
      </rPr>
      <t>Anuario de Estadística e Avances de superficies y producciones agrícolas</t>
    </r>
    <r>
      <rPr>
        <sz val="13"/>
        <color theme="1"/>
        <rFont val="Museo Sans 500"/>
        <family val="3"/>
      </rPr>
      <t>.</t>
    </r>
  </si>
  <si>
    <t>2021/
2020</t>
  </si>
  <si>
    <t>2022/
2021</t>
  </si>
  <si>
    <r>
      <t>Leite de vaca</t>
    </r>
    <r>
      <rPr>
        <vertAlign val="superscript"/>
        <sz val="13"/>
        <color theme="1"/>
        <rFont val="Museo Sans 500"/>
        <family val="3"/>
      </rPr>
      <t>1</t>
    </r>
  </si>
  <si>
    <r>
      <t>Carne de vacún</t>
    </r>
    <r>
      <rPr>
        <vertAlign val="superscript"/>
        <sz val="13"/>
        <rFont val="Museo Sans 500"/>
        <family val="3"/>
      </rPr>
      <t>2</t>
    </r>
  </si>
  <si>
    <r>
      <t>Carne de porcino</t>
    </r>
    <r>
      <rPr>
        <vertAlign val="superscript"/>
        <sz val="13"/>
        <color theme="1"/>
        <rFont val="Museo Sans 500"/>
        <family val="3"/>
      </rPr>
      <t>2</t>
    </r>
  </si>
  <si>
    <r>
      <t>Carne de ave</t>
    </r>
    <r>
      <rPr>
        <vertAlign val="superscript"/>
        <sz val="13"/>
        <rFont val="Museo Sans 500"/>
        <family val="3"/>
      </rPr>
      <t>2</t>
    </r>
  </si>
  <si>
    <r>
      <t>Carne de ovino</t>
    </r>
    <r>
      <rPr>
        <vertAlign val="superscript"/>
        <sz val="13"/>
        <color theme="1"/>
        <rFont val="Museo Sans 500"/>
        <family val="3"/>
      </rPr>
      <t>2</t>
    </r>
  </si>
  <si>
    <r>
      <t>Carne de caprino</t>
    </r>
    <r>
      <rPr>
        <vertAlign val="superscript"/>
        <sz val="13"/>
        <rFont val="Museo Sans 500"/>
        <family val="3"/>
      </rPr>
      <t>2</t>
    </r>
  </si>
  <si>
    <r>
      <t>Carne de coello</t>
    </r>
    <r>
      <rPr>
        <vertAlign val="superscript"/>
        <sz val="13"/>
        <color theme="1"/>
        <rFont val="Museo Sans 500"/>
        <family val="3"/>
      </rPr>
      <t>2</t>
    </r>
  </si>
  <si>
    <r>
      <t>Ovos</t>
    </r>
    <r>
      <rPr>
        <vertAlign val="superscript"/>
        <sz val="13"/>
        <rFont val="Museo Sans 500"/>
        <family val="3"/>
      </rPr>
      <t>3</t>
    </r>
  </si>
  <si>
    <r>
      <t xml:space="preserve">   - MAPA, </t>
    </r>
    <r>
      <rPr>
        <i/>
        <sz val="13"/>
        <color theme="1"/>
        <rFont val="Museo Sans 500"/>
        <family val="3"/>
      </rPr>
      <t>Anuario de estadística</t>
    </r>
    <r>
      <rPr>
        <sz val="13"/>
        <color theme="1"/>
        <rFont val="Museo Sans 500"/>
        <family val="3"/>
      </rPr>
      <t xml:space="preserve">, </t>
    </r>
    <r>
      <rPr>
        <i/>
        <sz val="13"/>
        <color theme="1"/>
        <rFont val="Museo Sans 500"/>
        <family val="3"/>
      </rPr>
      <t>Encuesta de sacrificio de ganado</t>
    </r>
    <r>
      <rPr>
        <sz val="13"/>
        <color theme="1"/>
        <rFont val="Museo Sans 500"/>
        <family val="3"/>
      </rPr>
      <t xml:space="preserve"> e </t>
    </r>
    <r>
      <rPr>
        <i/>
        <sz val="13"/>
        <color theme="1"/>
        <rFont val="Museo Sans 500"/>
        <family val="3"/>
      </rPr>
      <t>Estadística láctea</t>
    </r>
    <r>
      <rPr>
        <sz val="13"/>
        <color theme="1"/>
        <rFont val="Museo Sans 500"/>
        <family val="3"/>
      </rPr>
      <t>.</t>
    </r>
  </si>
  <si>
    <r>
      <t xml:space="preserve">   - Consellería do Medio Rural, </t>
    </r>
    <r>
      <rPr>
        <i/>
        <sz val="13"/>
        <color theme="1"/>
        <rFont val="Museo Sans 500"/>
        <family val="3"/>
      </rPr>
      <t>Anuario de estatística agraria</t>
    </r>
    <r>
      <rPr>
        <sz val="13"/>
        <color theme="1"/>
        <rFont val="Museo Sans 500"/>
        <family val="3"/>
      </rPr>
      <t>.</t>
    </r>
  </si>
  <si>
    <t>1985/
2005</t>
  </si>
  <si>
    <t>2017/
2018</t>
  </si>
  <si>
    <t>2018/
2019</t>
  </si>
  <si>
    <t>2019/
2020</t>
  </si>
  <si>
    <t>2020/
2021</t>
  </si>
  <si>
    <t>2021/
2022</t>
  </si>
  <si>
    <t>1985/
2022**</t>
  </si>
  <si>
    <t>2018/ 2017</t>
  </si>
  <si>
    <r>
      <t xml:space="preserve">Fonte: Elaboración propia a partir de MAPA, </t>
    </r>
    <r>
      <rPr>
        <i/>
        <sz val="13"/>
        <rFont val="Museo Sans 500"/>
        <family val="3"/>
      </rPr>
      <t>Índices de precios percibidos, precios pagados y salarios agrarios</t>
    </r>
    <r>
      <rPr>
        <sz val="13"/>
        <rFont val="Museo Sans 500"/>
        <family val="3"/>
      </rPr>
      <t>.</t>
    </r>
  </si>
  <si>
    <r>
      <t xml:space="preserve">** Evolución dos prezos dos diversos </t>
    </r>
    <r>
      <rPr>
        <i/>
        <sz val="13"/>
        <rFont val="Museo Sans 500"/>
        <family val="3"/>
      </rPr>
      <t xml:space="preserve">inputs </t>
    </r>
    <r>
      <rPr>
        <sz val="13"/>
        <rFont val="Museo Sans 500"/>
        <family val="3"/>
      </rPr>
      <t>correntes no conxunto de España, e variación do índice xeral de prezos pagados que resulta para
     Galicia ao aplicarlle á evolución anterior a estrutura dos consumos intermedios da nosa agricultura.</t>
    </r>
  </si>
  <si>
    <r>
      <t>Índice xeral
de prezos percibidos</t>
    </r>
    <r>
      <rPr>
        <b/>
        <vertAlign val="superscript"/>
        <sz val="13"/>
        <color theme="0"/>
        <rFont val="Museo Sans 500"/>
        <family val="3"/>
      </rPr>
      <t>1</t>
    </r>
  </si>
  <si>
    <r>
      <t>Índice xeral
de prezos pagados</t>
    </r>
    <r>
      <rPr>
        <b/>
        <vertAlign val="superscript"/>
        <sz val="13"/>
        <color theme="0"/>
        <rFont val="Museo Sans 500"/>
        <family val="3"/>
      </rPr>
      <t>1</t>
    </r>
  </si>
  <si>
    <r>
      <t xml:space="preserve">   - MAPA, </t>
    </r>
    <r>
      <rPr>
        <i/>
        <sz val="13"/>
        <color theme="1"/>
        <rFont val="Museo Sans 500"/>
        <family val="3"/>
      </rPr>
      <t>Índices de precios percibidos, precios pagados y salarios agrarios</t>
    </r>
    <r>
      <rPr>
        <sz val="13"/>
        <color theme="1"/>
        <rFont val="Museo Sans 500"/>
        <family val="3"/>
      </rPr>
      <t>.</t>
    </r>
  </si>
  <si>
    <t>Prezos
percibidos/
IPC</t>
  </si>
  <si>
    <t>Prezos
percibidos/
Prezos
pagados</t>
  </si>
  <si>
    <t>(1) Os índices de prezos percibidos e prezos pagados que ofrecemos son os que
      resultan de imputarlle os índices sectoriais españois (para os diferentes produtos
      agrarios e as diversas partidas dos consumos intermedios) á estrutura da
      produción e dos consumos intermedios da agricultura galega.</t>
  </si>
  <si>
    <t>* As cifras referidas á variación dos volumes de produción proceden das estima-
   cións do MAPA para Galicia. As relativas aos prezos corresponden, en cambio,
   á evolución dos prezos percibidos en España.</t>
  </si>
  <si>
    <r>
      <t xml:space="preserve">Estimación da variación do valor da produción nas principais ramas agrícolas e gandeiras de Galicia. </t>
    </r>
    <r>
      <rPr>
        <sz val="13"/>
        <rFont val="Museo Sans 500"/>
        <family val="3"/>
      </rPr>
      <t>Ano 2022*</t>
    </r>
  </si>
  <si>
    <r>
      <t xml:space="preserve">Fonte: EPA, INE e IGE, </t>
    </r>
    <r>
      <rPr>
        <i/>
        <sz val="13"/>
        <rFont val="Museo Sans 500"/>
        <family val="3"/>
      </rPr>
      <t>Enquisa de poboación activa en Galicia.</t>
    </r>
  </si>
  <si>
    <r>
      <t xml:space="preserve">Evolución do censo de gando bovino en Galicia </t>
    </r>
    <r>
      <rPr>
        <sz val="13"/>
        <rFont val="Museo Sans 500"/>
        <family val="3"/>
      </rPr>
      <t>*</t>
    </r>
  </si>
  <si>
    <r>
      <t xml:space="preserve">Fonte: MAPA, </t>
    </r>
    <r>
      <rPr>
        <i/>
        <sz val="13"/>
        <rFont val="Museo Sans 500"/>
        <family val="3"/>
      </rPr>
      <t xml:space="preserve">Anuario de estadística </t>
    </r>
    <r>
      <rPr>
        <sz val="13"/>
        <rFont val="Museo Sans 500"/>
        <family val="3"/>
      </rPr>
      <t xml:space="preserve">e </t>
    </r>
    <r>
      <rPr>
        <i/>
        <sz val="13"/>
        <rFont val="Museo Sans 500"/>
        <family val="3"/>
      </rPr>
      <t>Encuestas ganaderas</t>
    </r>
    <r>
      <rPr>
        <sz val="13"/>
        <rFont val="Museo Sans 500"/>
        <family val="3"/>
      </rPr>
      <t>.</t>
    </r>
  </si>
  <si>
    <r>
      <t xml:space="preserve">Fonte: IGE, </t>
    </r>
    <r>
      <rPr>
        <i/>
        <sz val="13"/>
        <color indexed="8"/>
        <rFont val="Museo Sans 500"/>
        <family val="3"/>
      </rPr>
      <t>Rexistro de gando bovino.</t>
    </r>
  </si>
  <si>
    <r>
      <t xml:space="preserve">Evolución do censo de gando porcino en Galicia </t>
    </r>
    <r>
      <rPr>
        <sz val="13"/>
        <rFont val="Museo Sans 500"/>
        <family val="3"/>
      </rPr>
      <t>*</t>
    </r>
  </si>
  <si>
    <r>
      <t xml:space="preserve">Fonte: MAPA, </t>
    </r>
    <r>
      <rPr>
        <i/>
        <sz val="13"/>
        <rFont val="Museo Sans 500"/>
        <family val="3"/>
      </rPr>
      <t xml:space="preserve">Anuario de estadística </t>
    </r>
    <r>
      <rPr>
        <sz val="13"/>
        <rFont val="Museo Sans 500"/>
        <family val="3"/>
      </rPr>
      <t>e</t>
    </r>
    <r>
      <rPr>
        <i/>
        <sz val="13"/>
        <rFont val="Museo Sans 500"/>
        <family val="3"/>
      </rPr>
      <t xml:space="preserve"> Encuestas ganaderas</t>
    </r>
    <r>
      <rPr>
        <sz val="13"/>
        <rFont val="Museo Sans 500"/>
        <family val="3"/>
      </rPr>
      <t>.</t>
    </r>
  </si>
  <si>
    <t>Produción estándar total (PET)/
Explotación (euros)</t>
  </si>
  <si>
    <t>Compoñente estrutural SAU/expl. (ha)</t>
  </si>
  <si>
    <t>* Os datos de 2022 son provisionais. Para o leite estimación a partir dos dados de entregas á industria. O peso da produción galega de ovos no
   conxunto do Estado refírese a 2021.</t>
  </si>
  <si>
    <r>
      <rPr>
        <vertAlign val="superscript"/>
        <sz val="13"/>
        <color theme="1"/>
        <rFont val="Museo Sans 500"/>
        <family val="3"/>
      </rPr>
      <t>1</t>
    </r>
    <r>
      <rPr>
        <sz val="13"/>
        <color theme="1"/>
        <rFont val="Museo Sans 500"/>
        <family val="3"/>
      </rPr>
      <t xml:space="preserve"> Millóns de litros. </t>
    </r>
    <r>
      <rPr>
        <vertAlign val="superscript"/>
        <sz val="13"/>
        <color theme="1"/>
        <rFont val="Museo Sans 500"/>
        <family val="3"/>
      </rPr>
      <t>2</t>
    </r>
    <r>
      <rPr>
        <sz val="13"/>
        <color theme="1"/>
        <rFont val="Museo Sans 500"/>
        <family val="3"/>
      </rPr>
      <t xml:space="preserve"> Miles de toneladas.</t>
    </r>
    <r>
      <rPr>
        <vertAlign val="superscript"/>
        <sz val="13"/>
        <color theme="1"/>
        <rFont val="Museo Sans 500"/>
        <family val="3"/>
      </rPr>
      <t>3</t>
    </r>
    <r>
      <rPr>
        <sz val="13"/>
        <color theme="1"/>
        <rFont val="Museo Sans 500"/>
        <family val="3"/>
      </rPr>
      <t xml:space="preserve"> Millóns de ducias.</t>
    </r>
  </si>
  <si>
    <t>* Evolución dos prezos por grupos de produtos no conxunto de España e variación dos índices de prezos por subsectores que resulta para
   Galicia ao aplicarlle á evolución anterior a estrutura da produción agraria galega.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</si>
</sst>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"/>
    <numFmt numFmtId="165" formatCode="#,##0\ \ \ \ \ "/>
    <numFmt numFmtId="166" formatCode="#,##0.00\ \ \ \ \ \ "/>
    <numFmt numFmtId="167" formatCode="_-* #,##0.00\ _€_-;\-* #,##0.00\ _€_-;_-* \-??\ _€_-;_-@_-"/>
    <numFmt numFmtId="168" formatCode="#,##0.0_ ;\-#,##0.0\ "/>
    <numFmt numFmtId="169" formatCode="0.0"/>
    <numFmt numFmtId="170" formatCode="0.000"/>
    <numFmt numFmtId="171" formatCode="#,##0\ \ \ \ "/>
    <numFmt numFmtId="172" formatCode="#,##0\ \ "/>
    <numFmt numFmtId="173" formatCode="0.0\ \ "/>
    <numFmt numFmtId="174" formatCode="0.00\ \ \ \ "/>
    <numFmt numFmtId="175" formatCode="0.00\ \ \ \ \ "/>
    <numFmt numFmtId="176" formatCode="#,##0.0\ \ \ "/>
    <numFmt numFmtId="177" formatCode="0.0\ \ \ \ \ "/>
    <numFmt numFmtId="178" formatCode="#,##0.0\ \ \ \ "/>
    <numFmt numFmtId="179" formatCode="0.0\ \ \ \ \ \ "/>
    <numFmt numFmtId="180" formatCode="#,##0.0\ \ \ \ \ \ \ "/>
    <numFmt numFmtId="181" formatCode="#,##0.0\ \ \ \ \ \ "/>
    <numFmt numFmtId="182" formatCode="#,##0.0\ \ \ \ \ "/>
    <numFmt numFmtId="183" formatCode="0.0\ \ \ \ \ \ \ \ "/>
    <numFmt numFmtId="184" formatCode="#,##0.0\ \ "/>
    <numFmt numFmtId="185" formatCode="#,##0.0\ "/>
  </numFmts>
  <fonts count="42">
    <font>
      <sz val="13"/>
      <name val="Museo Sans 500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color theme="1" tint="0.24994659260841701"/>
      <name val="Calibri"/>
      <family val="2"/>
    </font>
    <font>
      <sz val="11"/>
      <color theme="1" tint="0.24994659260841701"/>
      <name val="Museo Sans 500"/>
      <family val="3"/>
    </font>
    <font>
      <sz val="13"/>
      <name val="Museo Sans 500"/>
      <family val="3"/>
    </font>
    <font>
      <b/>
      <sz val="13"/>
      <color theme="0"/>
      <name val="Museo Sans 500"/>
      <family val="3"/>
    </font>
    <font>
      <sz val="13"/>
      <color theme="1"/>
      <name val="Museo Sans 500"/>
      <family val="3"/>
    </font>
    <font>
      <u/>
      <sz val="10"/>
      <color indexed="12"/>
      <name val="Arial"/>
      <family val="2"/>
    </font>
    <font>
      <sz val="13"/>
      <color indexed="8"/>
      <name val="Museo Sans 500"/>
      <family val="3"/>
    </font>
    <font>
      <sz val="11"/>
      <color indexed="17"/>
      <name val="Calibri"/>
      <family val="2"/>
    </font>
    <font>
      <sz val="10"/>
      <name val="Arial MT"/>
    </font>
    <font>
      <sz val="10"/>
      <name val="Arial"/>
    </font>
    <font>
      <b/>
      <sz val="11"/>
      <color indexed="62"/>
      <name val="Calibri"/>
      <family val="2"/>
    </font>
    <font>
      <b/>
      <sz val="13"/>
      <name val="Museo Sans 500"/>
      <family val="3"/>
    </font>
    <font>
      <i/>
      <sz val="13"/>
      <name val="Museo Sans 500"/>
      <family val="3"/>
    </font>
    <font>
      <b/>
      <sz val="13"/>
      <color indexed="8"/>
      <name val="Museo Sans 500"/>
      <family val="3"/>
    </font>
    <font>
      <i/>
      <sz val="13"/>
      <color indexed="8"/>
      <name val="Museo Sans 500"/>
      <family val="3"/>
    </font>
    <font>
      <vertAlign val="superscript"/>
      <sz val="13"/>
      <name val="Museo Sans 500"/>
      <family val="3"/>
    </font>
    <font>
      <vertAlign val="superscript"/>
      <sz val="13"/>
      <color rgb="FF000000"/>
      <name val="Museo Sans 500"/>
      <family val="3"/>
    </font>
    <font>
      <b/>
      <sz val="13"/>
      <color theme="1"/>
      <name val="Museo Sans 500"/>
      <family val="3"/>
    </font>
    <font>
      <vertAlign val="superscript"/>
      <sz val="13"/>
      <color theme="1"/>
      <name val="Museo Sans 500"/>
      <family val="3"/>
    </font>
    <font>
      <i/>
      <sz val="13"/>
      <color theme="1"/>
      <name val="Museo Sans 500"/>
      <family val="3"/>
    </font>
    <font>
      <b/>
      <vertAlign val="superscript"/>
      <sz val="13"/>
      <color theme="0"/>
      <name val="Museo Sans 500"/>
      <family val="3"/>
    </font>
    <font>
      <sz val="13"/>
      <color rgb="FFFF0000"/>
      <name val="Museo Sans 500"/>
      <family val="3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87DA"/>
        <bgColor indexed="64"/>
      </patternFill>
    </fill>
    <fill>
      <patternFill patternType="solid">
        <fgColor rgb="FFD9E4F7"/>
        <bgColor indexed="64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6F7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hair">
        <color auto="1"/>
      </right>
      <top/>
      <bottom/>
      <diagonal/>
    </border>
  </borders>
  <cellStyleXfs count="86">
    <xf numFmtId="0" fontId="0" fillId="0" borderId="0" applyNumberFormat="0" applyBorder="0" applyAlignment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2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1" fillId="7" borderId="1" applyNumberFormat="0" applyAlignment="0" applyProtection="0"/>
    <xf numFmtId="0" fontId="20" fillId="25" borderId="0" applyNumberFormat="0" applyBorder="0" applyAlignment="0" applyProtection="0"/>
    <xf numFmtId="0" fontId="12" fillId="22" borderId="0" applyNumberFormat="0" applyBorder="0" applyAlignment="0" applyProtection="0"/>
    <xf numFmtId="0" fontId="5" fillId="23" borderId="4" applyNumberFormat="0" applyFont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9" fillId="0" borderId="9" applyNumberFormat="0" applyFill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26" borderId="0" applyNumberFormat="0" applyBorder="0" applyAlignment="0"/>
    <xf numFmtId="0" fontId="22" fillId="27" borderId="0" applyNumberFormat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3" fillId="0" borderId="0"/>
    <xf numFmtId="0" fontId="5" fillId="0" borderId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44" fontId="4" fillId="0" borderId="0" applyFont="0" applyFill="0" applyBorder="0" applyAlignment="0" applyProtection="0"/>
    <xf numFmtId="167" fontId="4" fillId="0" borderId="0" applyFill="0" applyBorder="0" applyAlignment="0" applyProtection="0"/>
    <xf numFmtId="0" fontId="12" fillId="22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29" fillId="23" borderId="13" applyNumberFormat="0" applyFont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348">
    <xf numFmtId="0" fontId="0" fillId="0" borderId="0" xfId="0"/>
    <xf numFmtId="0" fontId="22" fillId="27" borderId="0" xfId="48" applyBorder="1" applyAlignment="1">
      <alignment wrapText="1"/>
    </xf>
    <xf numFmtId="174" fontId="22" fillId="27" borderId="0" xfId="48" applyNumberFormat="1" applyBorder="1" applyAlignment="1">
      <alignment horizontal="right" indent="1"/>
    </xf>
    <xf numFmtId="0" fontId="26" fillId="0" borderId="0" xfId="0" applyFont="1"/>
    <xf numFmtId="0" fontId="24" fillId="0" borderId="0" xfId="0" applyFont="1"/>
    <xf numFmtId="164" fontId="24" fillId="0" borderId="0" xfId="0" applyNumberFormat="1" applyFont="1"/>
    <xf numFmtId="0" fontId="26" fillId="0" borderId="0" xfId="55" applyFont="1"/>
    <xf numFmtId="0" fontId="1" fillId="0" borderId="0" xfId="85"/>
    <xf numFmtId="0" fontId="31" fillId="0" borderId="0" xfId="0" applyFont="1"/>
    <xf numFmtId="0" fontId="0" fillId="0" borderId="0" xfId="0" applyAlignment="1">
      <alignment wrapText="1"/>
    </xf>
    <xf numFmtId="0" fontId="23" fillId="26" borderId="0" xfId="47" applyAlignment="1">
      <alignment horizontal="center"/>
    </xf>
    <xf numFmtId="0" fontId="22" fillId="27" borderId="0" xfId="48" applyAlignment="1">
      <alignment wrapText="1"/>
    </xf>
    <xf numFmtId="0" fontId="22" fillId="27" borderId="0" xfId="48"/>
    <xf numFmtId="0" fontId="23" fillId="26" borderId="0" xfId="47" applyAlignment="1">
      <alignment horizontal="left" vertical="center"/>
    </xf>
    <xf numFmtId="0" fontId="23" fillId="26" borderId="0" xfId="47"/>
    <xf numFmtId="0" fontId="23" fillId="26" borderId="11" xfId="47" applyBorder="1" applyAlignment="1">
      <alignment horizontal="center"/>
    </xf>
    <xf numFmtId="0" fontId="23" fillId="26" borderId="0" xfId="47" applyBorder="1" applyAlignment="1">
      <alignment horizontal="center"/>
    </xf>
    <xf numFmtId="172" fontId="22" fillId="27" borderId="11" xfId="48" applyNumberFormat="1" applyBorder="1" applyAlignment="1">
      <alignment horizontal="right" indent="1"/>
    </xf>
    <xf numFmtId="172" fontId="22" fillId="27" borderId="0" xfId="48" applyNumberFormat="1" applyBorder="1" applyAlignment="1">
      <alignment horizontal="right" indent="1"/>
    </xf>
    <xf numFmtId="172" fontId="0" fillId="0" borderId="11" xfId="0" applyNumberFormat="1" applyBorder="1" applyAlignment="1">
      <alignment horizontal="right" indent="1"/>
    </xf>
    <xf numFmtId="172" fontId="0" fillId="0" borderId="0" xfId="0" applyNumberFormat="1" applyBorder="1" applyAlignment="1">
      <alignment horizontal="right" indent="1"/>
    </xf>
    <xf numFmtId="173" fontId="22" fillId="27" borderId="11" xfId="48" applyNumberFormat="1" applyBorder="1" applyAlignment="1">
      <alignment horizontal="right" indent="1"/>
    </xf>
    <xf numFmtId="173" fontId="22" fillId="27" borderId="0" xfId="48" applyNumberFormat="1" applyAlignment="1">
      <alignment horizontal="right" indent="1"/>
    </xf>
    <xf numFmtId="173" fontId="0" fillId="0" borderId="11" xfId="0" applyNumberFormat="1" applyBorder="1" applyAlignment="1">
      <alignment horizontal="right" indent="1"/>
    </xf>
    <xf numFmtId="173" fontId="0" fillId="0" borderId="0" xfId="0" applyNumberFormat="1" applyAlignment="1">
      <alignment horizontal="right" indent="1"/>
    </xf>
    <xf numFmtId="0" fontId="22" fillId="0" borderId="0" xfId="81" applyFont="1"/>
    <xf numFmtId="0" fontId="22" fillId="0" borderId="0" xfId="85" applyFont="1"/>
    <xf numFmtId="0" fontId="24" fillId="0" borderId="0" xfId="85" applyFont="1"/>
    <xf numFmtId="0" fontId="31" fillId="0" borderId="0" xfId="85" applyFont="1"/>
    <xf numFmtId="0" fontId="23" fillId="26" borderId="0" xfId="47" applyBorder="1" applyAlignment="1">
      <alignment horizontal="center" vertical="center" wrapText="1"/>
    </xf>
    <xf numFmtId="3" fontId="22" fillId="0" borderId="0" xfId="85" applyNumberFormat="1" applyFont="1" applyAlignment="1">
      <alignment horizontal="right"/>
    </xf>
    <xf numFmtId="0" fontId="22" fillId="0" borderId="0" xfId="85" applyFont="1" applyAlignment="1">
      <alignment horizontal="left" vertical="center" wrapText="1"/>
    </xf>
    <xf numFmtId="0" fontId="23" fillId="26" borderId="0" xfId="47" applyBorder="1" applyAlignment="1">
      <alignment horizontal="center" wrapText="1"/>
    </xf>
    <xf numFmtId="0" fontId="22" fillId="27" borderId="0" xfId="48" applyBorder="1" applyAlignment="1">
      <alignment horizontal="left" vertical="center" wrapText="1"/>
    </xf>
    <xf numFmtId="165" fontId="22" fillId="27" borderId="0" xfId="48" applyNumberFormat="1" applyBorder="1" applyAlignment="1">
      <alignment horizontal="right" vertical="center"/>
    </xf>
    <xf numFmtId="175" fontId="22" fillId="0" borderId="0" xfId="85" applyNumberFormat="1" applyFont="1" applyAlignment="1">
      <alignment horizontal="right" vertical="center"/>
    </xf>
    <xf numFmtId="175" fontId="22" fillId="27" borderId="0" xfId="48" applyNumberFormat="1" applyBorder="1" applyAlignment="1">
      <alignment horizontal="right" vertical="center"/>
    </xf>
    <xf numFmtId="0" fontId="31" fillId="0" borderId="0" xfId="85" applyFont="1" applyAlignment="1">
      <alignment horizontal="right"/>
    </xf>
    <xf numFmtId="4" fontId="31" fillId="0" borderId="0" xfId="85" applyNumberFormat="1" applyFont="1" applyAlignment="1">
      <alignment horizontal="right"/>
    </xf>
    <xf numFmtId="0" fontId="23" fillId="26" borderId="0" xfId="47" applyBorder="1" applyAlignment="1">
      <alignment horizontal="left" vertical="center" wrapText="1"/>
    </xf>
    <xf numFmtId="0" fontId="23" fillId="26" borderId="0" xfId="47" applyBorder="1"/>
    <xf numFmtId="0" fontId="22" fillId="27" borderId="0" xfId="48" applyBorder="1"/>
    <xf numFmtId="171" fontId="22" fillId="0" borderId="0" xfId="85" applyNumberFormat="1" applyFont="1" applyAlignment="1">
      <alignment horizontal="right"/>
    </xf>
    <xf numFmtId="171" fontId="22" fillId="27" borderId="0" xfId="48" applyNumberFormat="1" applyBorder="1" applyAlignment="1">
      <alignment horizontal="right"/>
    </xf>
    <xf numFmtId="171" fontId="23" fillId="26" borderId="0" xfId="47" applyNumberFormat="1" applyBorder="1" applyAlignment="1">
      <alignment horizontal="right"/>
    </xf>
    <xf numFmtId="0" fontId="31" fillId="0" borderId="0" xfId="81" applyFont="1"/>
    <xf numFmtId="0" fontId="22" fillId="0" borderId="0" xfId="81" applyFont="1" applyAlignment="1">
      <alignment horizontal="center"/>
    </xf>
    <xf numFmtId="0" fontId="31" fillId="0" borderId="0" xfId="81" applyFont="1" applyAlignment="1">
      <alignment horizontal="left"/>
    </xf>
    <xf numFmtId="0" fontId="31" fillId="0" borderId="0" xfId="81" applyFont="1" applyAlignment="1">
      <alignment horizontal="left" wrapText="1"/>
    </xf>
    <xf numFmtId="168" fontId="22" fillId="0" borderId="0" xfId="81" applyNumberFormat="1" applyFont="1"/>
    <xf numFmtId="0" fontId="22" fillId="0" borderId="0" xfId="81" quotePrefix="1" applyFont="1"/>
    <xf numFmtId="176" fontId="22" fillId="27" borderId="0" xfId="48" applyNumberFormat="1"/>
    <xf numFmtId="176" fontId="22" fillId="0" borderId="0" xfId="81" applyNumberFormat="1" applyFont="1"/>
    <xf numFmtId="176" fontId="23" fillId="26" borderId="0" xfId="47" applyNumberFormat="1"/>
    <xf numFmtId="0" fontId="0" fillId="0" borderId="0" xfId="81" quotePrefix="1" applyFont="1"/>
    <xf numFmtId="0" fontId="31" fillId="0" borderId="0" xfId="81" applyFont="1" applyAlignment="1">
      <alignment vertical="center"/>
    </xf>
    <xf numFmtId="164" fontId="22" fillId="0" borderId="0" xfId="81" applyNumberFormat="1" applyFont="1"/>
    <xf numFmtId="177" fontId="22" fillId="27" borderId="0" xfId="48" applyNumberFormat="1"/>
    <xf numFmtId="177" fontId="22" fillId="0" borderId="0" xfId="81" applyNumberFormat="1" applyFont="1"/>
    <xf numFmtId="177" fontId="23" fillId="26" borderId="0" xfId="47" applyNumberFormat="1"/>
    <xf numFmtId="176" fontId="22" fillId="27" borderId="0" xfId="48" applyNumberFormat="1" applyBorder="1"/>
    <xf numFmtId="176" fontId="23" fillId="26" borderId="0" xfId="47" applyNumberFormat="1" applyBorder="1"/>
    <xf numFmtId="0" fontId="23" fillId="26" borderId="14" xfId="47" applyBorder="1" applyAlignment="1">
      <alignment horizontal="center"/>
    </xf>
    <xf numFmtId="176" fontId="22" fillId="27" borderId="11" xfId="48" applyNumberFormat="1" applyBorder="1"/>
    <xf numFmtId="176" fontId="22" fillId="27" borderId="14" xfId="48" applyNumberFormat="1" applyBorder="1"/>
    <xf numFmtId="176" fontId="22" fillId="0" borderId="11" xfId="81" applyNumberFormat="1" applyFont="1" applyBorder="1"/>
    <xf numFmtId="176" fontId="22" fillId="0" borderId="14" xfId="81" applyNumberFormat="1" applyFont="1" applyBorder="1"/>
    <xf numFmtId="176" fontId="23" fillId="26" borderId="11" xfId="47" applyNumberFormat="1" applyBorder="1"/>
    <xf numFmtId="176" fontId="23" fillId="26" borderId="14" xfId="47" applyNumberFormat="1" applyBorder="1"/>
    <xf numFmtId="177" fontId="22" fillId="27" borderId="0" xfId="48" applyNumberFormat="1" applyBorder="1"/>
    <xf numFmtId="177" fontId="23" fillId="26" borderId="0" xfId="47" applyNumberFormat="1" applyBorder="1"/>
    <xf numFmtId="177" fontId="22" fillId="27" borderId="11" xfId="48" applyNumberFormat="1" applyBorder="1"/>
    <xf numFmtId="177" fontId="22" fillId="27" borderId="14" xfId="48" applyNumberFormat="1" applyBorder="1"/>
    <xf numFmtId="177" fontId="22" fillId="0" borderId="11" xfId="81" applyNumberFormat="1" applyFont="1" applyBorder="1"/>
    <xf numFmtId="177" fontId="22" fillId="0" borderId="14" xfId="81" applyNumberFormat="1" applyFont="1" applyBorder="1"/>
    <xf numFmtId="177" fontId="23" fillId="26" borderId="11" xfId="47" applyNumberFormat="1" applyBorder="1"/>
    <xf numFmtId="177" fontId="23" fillId="26" borderId="14" xfId="47" applyNumberFormat="1" applyBorder="1"/>
    <xf numFmtId="173" fontId="22" fillId="27" borderId="11" xfId="48" applyNumberFormat="1" applyBorder="1" applyAlignment="1">
      <alignment horizontal="right" indent="2"/>
    </xf>
    <xf numFmtId="173" fontId="22" fillId="27" borderId="14" xfId="48" applyNumberFormat="1" applyBorder="1" applyAlignment="1">
      <alignment horizontal="right" indent="2"/>
    </xf>
    <xf numFmtId="173" fontId="22" fillId="27" borderId="0" xfId="48" applyNumberFormat="1" applyBorder="1" applyAlignment="1">
      <alignment horizontal="right" indent="2"/>
    </xf>
    <xf numFmtId="173" fontId="22" fillId="27" borderId="0" xfId="48" applyNumberFormat="1" applyAlignment="1">
      <alignment horizontal="right" indent="2"/>
    </xf>
    <xf numFmtId="173" fontId="22" fillId="0" borderId="11" xfId="81" applyNumberFormat="1" applyFont="1" applyBorder="1" applyAlignment="1">
      <alignment horizontal="right" indent="2"/>
    </xf>
    <xf numFmtId="173" fontId="22" fillId="0" borderId="14" xfId="81" applyNumberFormat="1" applyFont="1" applyBorder="1" applyAlignment="1">
      <alignment horizontal="right" indent="2"/>
    </xf>
    <xf numFmtId="173" fontId="22" fillId="0" borderId="0" xfId="81" applyNumberFormat="1" applyFont="1" applyAlignment="1">
      <alignment horizontal="right" indent="2"/>
    </xf>
    <xf numFmtId="173" fontId="23" fillId="26" borderId="11" xfId="47" applyNumberFormat="1" applyBorder="1" applyAlignment="1">
      <alignment horizontal="right" indent="2"/>
    </xf>
    <xf numFmtId="173" fontId="23" fillId="26" borderId="14" xfId="47" applyNumberFormat="1" applyBorder="1" applyAlignment="1">
      <alignment horizontal="right" indent="2"/>
    </xf>
    <xf numFmtId="173" fontId="23" fillId="26" borderId="0" xfId="47" applyNumberFormat="1" applyBorder="1" applyAlignment="1">
      <alignment horizontal="right" indent="2"/>
    </xf>
    <xf numFmtId="173" fontId="23" fillId="26" borderId="0" xfId="47" applyNumberFormat="1" applyAlignment="1">
      <alignment horizontal="right" indent="2"/>
    </xf>
    <xf numFmtId="0" fontId="31" fillId="29" borderId="0" xfId="81" applyFont="1" applyFill="1"/>
    <xf numFmtId="169" fontId="22" fillId="0" borderId="0" xfId="81" applyNumberFormat="1" applyFont="1"/>
    <xf numFmtId="170" fontId="22" fillId="0" borderId="0" xfId="81" applyNumberFormat="1" applyFont="1"/>
    <xf numFmtId="178" fontId="22" fillId="27" borderId="11" xfId="48" applyNumberFormat="1" applyBorder="1" applyAlignment="1">
      <alignment vertical="center"/>
    </xf>
    <xf numFmtId="178" fontId="22" fillId="27" borderId="14" xfId="48" applyNumberFormat="1" applyBorder="1" applyAlignment="1">
      <alignment vertical="center"/>
    </xf>
    <xf numFmtId="178" fontId="22" fillId="27" borderId="0" xfId="48" applyNumberFormat="1" applyBorder="1" applyAlignment="1">
      <alignment vertical="center"/>
    </xf>
    <xf numFmtId="178" fontId="22" fillId="27" borderId="0" xfId="48" applyNumberFormat="1" applyAlignment="1">
      <alignment vertical="center"/>
    </xf>
    <xf numFmtId="178" fontId="22" fillId="0" borderId="11" xfId="81" applyNumberFormat="1" applyFont="1" applyBorder="1" applyAlignment="1">
      <alignment vertical="center"/>
    </xf>
    <xf numFmtId="178" fontId="22" fillId="0" borderId="14" xfId="81" applyNumberFormat="1" applyFont="1" applyBorder="1" applyAlignment="1">
      <alignment vertical="center"/>
    </xf>
    <xf numFmtId="178" fontId="22" fillId="0" borderId="0" xfId="81" applyNumberFormat="1" applyFont="1" applyAlignment="1">
      <alignment vertical="center"/>
    </xf>
    <xf numFmtId="178" fontId="23" fillId="26" borderId="11" xfId="47" applyNumberFormat="1" applyBorder="1" applyAlignment="1">
      <alignment vertical="center"/>
    </xf>
    <xf numFmtId="178" fontId="23" fillId="26" borderId="14" xfId="47" applyNumberFormat="1" applyBorder="1" applyAlignment="1">
      <alignment vertical="center"/>
    </xf>
    <xf numFmtId="178" fontId="23" fillId="26" borderId="0" xfId="47" applyNumberFormat="1" applyBorder="1" applyAlignment="1">
      <alignment vertical="center"/>
    </xf>
    <xf numFmtId="178" fontId="23" fillId="26" borderId="0" xfId="47" applyNumberFormat="1" applyAlignment="1">
      <alignment vertical="center"/>
    </xf>
    <xf numFmtId="178" fontId="31" fillId="0" borderId="0" xfId="81" applyNumberFormat="1" applyFont="1"/>
    <xf numFmtId="178" fontId="22" fillId="0" borderId="0" xfId="81" applyNumberFormat="1" applyFont="1"/>
    <xf numFmtId="178" fontId="31" fillId="29" borderId="0" xfId="81" applyNumberFormat="1" applyFont="1" applyFill="1"/>
    <xf numFmtId="0" fontId="23" fillId="26" borderId="11" xfId="47" applyNumberFormat="1" applyBorder="1" applyAlignment="1">
      <alignment horizontal="center"/>
    </xf>
    <xf numFmtId="0" fontId="23" fillId="26" borderId="14" xfId="47" applyNumberFormat="1" applyBorder="1" applyAlignment="1">
      <alignment horizontal="center"/>
    </xf>
    <xf numFmtId="0" fontId="23" fillId="26" borderId="0" xfId="47" applyNumberFormat="1" applyBorder="1" applyAlignment="1">
      <alignment horizontal="center"/>
    </xf>
    <xf numFmtId="0" fontId="23" fillId="26" borderId="0" xfId="47" applyNumberFormat="1" applyAlignment="1">
      <alignment horizontal="center"/>
    </xf>
    <xf numFmtId="179" fontId="22" fillId="27" borderId="11" xfId="48" applyNumberFormat="1" applyBorder="1" applyAlignment="1">
      <alignment horizontal="right" vertical="center"/>
    </xf>
    <xf numFmtId="179" fontId="22" fillId="27" borderId="14" xfId="48" applyNumberFormat="1" applyBorder="1" applyAlignment="1">
      <alignment horizontal="right" vertical="center"/>
    </xf>
    <xf numFmtId="179" fontId="22" fillId="27" borderId="0" xfId="48" applyNumberFormat="1" applyBorder="1" applyAlignment="1">
      <alignment horizontal="right" vertical="center"/>
    </xf>
    <xf numFmtId="179" fontId="22" fillId="27" borderId="0" xfId="48" applyNumberFormat="1" applyAlignment="1">
      <alignment horizontal="right" vertical="center"/>
    </xf>
    <xf numFmtId="179" fontId="22" fillId="0" borderId="11" xfId="81" applyNumberFormat="1" applyFont="1" applyBorder="1" applyAlignment="1">
      <alignment horizontal="right" vertical="center"/>
    </xf>
    <xf numFmtId="179" fontId="22" fillId="0" borderId="14" xfId="81" applyNumberFormat="1" applyFont="1" applyBorder="1" applyAlignment="1">
      <alignment horizontal="right" vertical="center"/>
    </xf>
    <xf numFmtId="179" fontId="22" fillId="0" borderId="0" xfId="81" applyNumberFormat="1" applyFont="1" applyAlignment="1">
      <alignment horizontal="right" vertical="center"/>
    </xf>
    <xf numFmtId="179" fontId="23" fillId="26" borderId="11" xfId="47" applyNumberFormat="1" applyBorder="1" applyAlignment="1">
      <alignment horizontal="right" vertical="center"/>
    </xf>
    <xf numFmtId="179" fontId="23" fillId="26" borderId="14" xfId="47" applyNumberFormat="1" applyBorder="1" applyAlignment="1">
      <alignment horizontal="right" vertical="center"/>
    </xf>
    <xf numFmtId="179" fontId="23" fillId="26" borderId="0" xfId="47" applyNumberFormat="1" applyBorder="1" applyAlignment="1">
      <alignment horizontal="right" vertical="center"/>
    </xf>
    <xf numFmtId="179" fontId="23" fillId="26" borderId="0" xfId="47" applyNumberFormat="1" applyAlignment="1">
      <alignment horizontal="right" vertical="center"/>
    </xf>
    <xf numFmtId="0" fontId="23" fillId="26" borderId="10" xfId="47" applyBorder="1" applyAlignment="1">
      <alignment horizontal="center"/>
    </xf>
    <xf numFmtId="164" fontId="22" fillId="27" borderId="10" xfId="48" applyNumberFormat="1" applyBorder="1" applyAlignment="1">
      <alignment horizontal="right" indent="2"/>
    </xf>
    <xf numFmtId="164" fontId="22" fillId="27" borderId="0" xfId="48" applyNumberFormat="1" applyAlignment="1">
      <alignment horizontal="right" indent="2"/>
    </xf>
    <xf numFmtId="164" fontId="22" fillId="0" borderId="10" xfId="81" applyNumberFormat="1" applyFont="1" applyBorder="1" applyAlignment="1">
      <alignment horizontal="right" indent="2"/>
    </xf>
    <xf numFmtId="164" fontId="22" fillId="0" borderId="0" xfId="81" applyNumberFormat="1" applyFont="1" applyAlignment="1">
      <alignment horizontal="right" indent="2"/>
    </xf>
    <xf numFmtId="169" fontId="22" fillId="0" borderId="10" xfId="81" applyNumberFormat="1" applyFont="1" applyBorder="1" applyAlignment="1">
      <alignment horizontal="right" indent="2"/>
    </xf>
    <xf numFmtId="169" fontId="22" fillId="0" borderId="0" xfId="81" applyNumberFormat="1" applyFont="1" applyAlignment="1">
      <alignment horizontal="right" indent="2"/>
    </xf>
    <xf numFmtId="169" fontId="22" fillId="27" borderId="10" xfId="48" applyNumberFormat="1" applyBorder="1" applyAlignment="1">
      <alignment horizontal="right" indent="2"/>
    </xf>
    <xf numFmtId="169" fontId="22" fillId="27" borderId="0" xfId="48" applyNumberFormat="1" applyAlignment="1">
      <alignment horizontal="right" indent="2"/>
    </xf>
    <xf numFmtId="164" fontId="23" fillId="26" borderId="10" xfId="47" applyNumberFormat="1" applyBorder="1" applyAlignment="1">
      <alignment horizontal="right" indent="2"/>
    </xf>
    <xf numFmtId="164" fontId="23" fillId="26" borderId="0" xfId="47" applyNumberFormat="1" applyAlignment="1">
      <alignment horizontal="right" indent="2"/>
    </xf>
    <xf numFmtId="0" fontId="22" fillId="0" borderId="0" xfId="81" applyFont="1" applyAlignment="1">
      <alignment horizontal="right" indent="2"/>
    </xf>
    <xf numFmtId="0" fontId="0" fillId="0" borderId="0" xfId="0" applyAlignment="1">
      <alignment horizontal="left" wrapText="1"/>
    </xf>
    <xf numFmtId="0" fontId="33" fillId="0" borderId="0" xfId="0" applyFont="1"/>
    <xf numFmtId="0" fontId="23" fillId="26" borderId="11" xfId="47" applyBorder="1"/>
    <xf numFmtId="0" fontId="23" fillId="26" borderId="0" xfId="47" applyAlignment="1">
      <alignment wrapText="1"/>
    </xf>
    <xf numFmtId="0" fontId="23" fillId="26" borderId="11" xfId="47" applyBorder="1" applyAlignment="1">
      <alignment horizontal="center" wrapText="1"/>
    </xf>
    <xf numFmtId="0" fontId="23" fillId="26" borderId="0" xfId="47" applyAlignment="1">
      <alignment horizontal="center" wrapText="1"/>
    </xf>
    <xf numFmtId="0" fontId="0" fillId="27" borderId="0" xfId="48" applyFont="1"/>
    <xf numFmtId="0" fontId="0" fillId="27" borderId="0" xfId="48" applyFont="1" applyAlignment="1">
      <alignment horizontal="left"/>
    </xf>
    <xf numFmtId="0" fontId="26" fillId="0" borderId="0" xfId="0" applyFont="1" applyAlignment="1">
      <alignment horizontal="left"/>
    </xf>
    <xf numFmtId="0" fontId="23" fillId="26" borderId="0" xfId="47" applyAlignment="1">
      <alignment horizontal="left"/>
    </xf>
    <xf numFmtId="0" fontId="26" fillId="0" borderId="0" xfId="0" quotePrefix="1" applyFont="1"/>
    <xf numFmtId="178" fontId="0" fillId="27" borderId="11" xfId="48" applyNumberFormat="1" applyFont="1" applyBorder="1" applyAlignment="1">
      <alignment horizontal="right"/>
    </xf>
    <xf numFmtId="178" fontId="0" fillId="27" borderId="0" xfId="48" applyNumberFormat="1" applyFont="1" applyAlignment="1">
      <alignment horizontal="right"/>
    </xf>
    <xf numFmtId="178" fontId="26" fillId="0" borderId="11" xfId="0" applyNumberFormat="1" applyFont="1" applyBorder="1" applyAlignment="1">
      <alignment horizontal="right"/>
    </xf>
    <xf numFmtId="178" fontId="26" fillId="0" borderId="0" xfId="0" applyNumberFormat="1" applyFont="1" applyAlignment="1">
      <alignment horizontal="right"/>
    </xf>
    <xf numFmtId="178" fontId="23" fillId="26" borderId="0" xfId="47" applyNumberFormat="1" applyAlignment="1">
      <alignment horizontal="right"/>
    </xf>
    <xf numFmtId="178" fontId="26" fillId="0" borderId="0" xfId="0" applyNumberFormat="1" applyFont="1" applyBorder="1" applyAlignment="1">
      <alignment horizontal="right"/>
    </xf>
    <xf numFmtId="178" fontId="0" fillId="27" borderId="0" xfId="48" applyNumberFormat="1" applyFont="1" applyBorder="1" applyAlignment="1">
      <alignment horizontal="right"/>
    </xf>
    <xf numFmtId="180" fontId="0" fillId="27" borderId="0" xfId="48" applyNumberFormat="1" applyFont="1" applyAlignment="1">
      <alignment horizontal="right"/>
    </xf>
    <xf numFmtId="180" fontId="26" fillId="0" borderId="0" xfId="0" applyNumberFormat="1" applyFont="1" applyAlignment="1">
      <alignment horizontal="right"/>
    </xf>
    <xf numFmtId="180" fontId="23" fillId="26" borderId="0" xfId="47" applyNumberFormat="1" applyAlignment="1">
      <alignment horizontal="right"/>
    </xf>
    <xf numFmtId="180" fontId="26" fillId="0" borderId="0" xfId="0" applyNumberFormat="1" applyFont="1" applyBorder="1" applyAlignment="1">
      <alignment horizontal="right"/>
    </xf>
    <xf numFmtId="180" fontId="0" fillId="27" borderId="0" xfId="48" applyNumberFormat="1" applyFont="1" applyBorder="1" applyAlignment="1">
      <alignment horizontal="right"/>
    </xf>
    <xf numFmtId="180" fontId="23" fillId="26" borderId="0" xfId="47" applyNumberFormat="1"/>
    <xf numFmtId="180" fontId="26" fillId="0" borderId="0" xfId="0" applyNumberFormat="1" applyFont="1"/>
    <xf numFmtId="181" fontId="0" fillId="27" borderId="11" xfId="48" applyNumberFormat="1" applyFont="1" applyBorder="1" applyAlignment="1">
      <alignment horizontal="right"/>
    </xf>
    <xf numFmtId="181" fontId="26" fillId="0" borderId="11" xfId="0" applyNumberFormat="1" applyFont="1" applyBorder="1" applyAlignment="1">
      <alignment horizontal="right"/>
    </xf>
    <xf numFmtId="181" fontId="23" fillId="26" borderId="0" xfId="47" applyNumberFormat="1" applyAlignment="1">
      <alignment horizontal="right"/>
    </xf>
    <xf numFmtId="181" fontId="26" fillId="0" borderId="0" xfId="0" applyNumberFormat="1" applyFont="1" applyAlignment="1">
      <alignment horizontal="right"/>
    </xf>
    <xf numFmtId="182" fontId="0" fillId="27" borderId="0" xfId="48" applyNumberFormat="1" applyFont="1" applyAlignment="1">
      <alignment horizontal="right"/>
    </xf>
    <xf numFmtId="182" fontId="26" fillId="0" borderId="0" xfId="0" applyNumberFormat="1" applyFont="1" applyAlignment="1">
      <alignment horizontal="right"/>
    </xf>
    <xf numFmtId="182" fontId="23" fillId="26" borderId="0" xfId="47" applyNumberFormat="1" applyAlignment="1">
      <alignment horizontal="right"/>
    </xf>
    <xf numFmtId="182" fontId="26" fillId="0" borderId="0" xfId="0" applyNumberFormat="1" applyFont="1" applyBorder="1" applyAlignment="1">
      <alignment horizontal="right"/>
    </xf>
    <xf numFmtId="182" fontId="0" fillId="27" borderId="0" xfId="48" applyNumberFormat="1" applyFont="1" applyBorder="1" applyAlignment="1">
      <alignment horizontal="right"/>
    </xf>
    <xf numFmtId="164" fontId="0" fillId="27" borderId="0" xfId="48" applyNumberFormat="1" applyFont="1" applyAlignment="1"/>
    <xf numFmtId="169" fontId="26" fillId="31" borderId="0" xfId="0" applyNumberFormat="1" applyFont="1" applyFill="1" applyAlignment="1"/>
    <xf numFmtId="0" fontId="26" fillId="31" borderId="0" xfId="0" applyFont="1" applyFill="1" applyAlignment="1"/>
    <xf numFmtId="164" fontId="26" fillId="0" borderId="0" xfId="0" applyNumberFormat="1" applyFont="1" applyAlignment="1"/>
    <xf numFmtId="169" fontId="26" fillId="0" borderId="0" xfId="0" applyNumberFormat="1" applyFont="1" applyAlignment="1"/>
    <xf numFmtId="0" fontId="26" fillId="0" borderId="0" xfId="0" applyFont="1" applyAlignment="1"/>
    <xf numFmtId="164" fontId="23" fillId="26" borderId="0" xfId="47" applyNumberFormat="1" applyAlignment="1"/>
    <xf numFmtId="0" fontId="0" fillId="27" borderId="0" xfId="48" applyFont="1" applyAlignment="1"/>
    <xf numFmtId="0" fontId="0" fillId="31" borderId="0" xfId="48" applyFont="1" applyFill="1" applyAlignment="1"/>
    <xf numFmtId="169" fontId="26" fillId="0" borderId="0" xfId="0" applyNumberFormat="1" applyFont="1"/>
    <xf numFmtId="169" fontId="26" fillId="31" borderId="0" xfId="0" applyNumberFormat="1" applyFont="1" applyFill="1"/>
    <xf numFmtId="164" fontId="23" fillId="26" borderId="0" xfId="47" applyNumberFormat="1"/>
    <xf numFmtId="183" fontId="0" fillId="27" borderId="0" xfId="48" applyNumberFormat="1" applyFont="1" applyAlignment="1"/>
    <xf numFmtId="183" fontId="0" fillId="31" borderId="0" xfId="48" applyNumberFormat="1" applyFont="1" applyFill="1" applyAlignment="1"/>
    <xf numFmtId="183" fontId="26" fillId="0" borderId="0" xfId="0" applyNumberFormat="1" applyFont="1" applyAlignment="1"/>
    <xf numFmtId="183" fontId="0" fillId="0" borderId="0" xfId="0" applyNumberFormat="1" applyAlignment="1"/>
    <xf numFmtId="183" fontId="23" fillId="26" borderId="0" xfId="47" applyNumberFormat="1" applyAlignment="1"/>
    <xf numFmtId="0" fontId="0" fillId="0" borderId="0" xfId="0" applyAlignment="1">
      <alignment horizontal="left"/>
    </xf>
    <xf numFmtId="0" fontId="22" fillId="27" borderId="0" xfId="48" applyAlignment="1">
      <alignment horizontal="left"/>
    </xf>
    <xf numFmtId="0" fontId="0" fillId="0" borderId="0" xfId="48" applyFont="1" applyFill="1" applyAlignment="1">
      <alignment horizontal="left"/>
    </xf>
    <xf numFmtId="164" fontId="22" fillId="27" borderId="0" xfId="48" applyNumberFormat="1" applyAlignment="1">
      <alignment horizontal="right" indent="6"/>
    </xf>
    <xf numFmtId="164" fontId="0" fillId="0" borderId="0" xfId="48" applyNumberFormat="1" applyFont="1" applyFill="1" applyAlignment="1">
      <alignment horizontal="right" indent="6"/>
    </xf>
    <xf numFmtId="169" fontId="22" fillId="27" borderId="0" xfId="48" applyNumberFormat="1" applyAlignment="1">
      <alignment horizontal="right" indent="6"/>
    </xf>
    <xf numFmtId="0" fontId="37" fillId="0" borderId="0" xfId="0" applyFont="1"/>
    <xf numFmtId="0" fontId="23" fillId="26" borderId="12" xfId="47" applyBorder="1" applyAlignment="1">
      <alignment horizontal="center"/>
    </xf>
    <xf numFmtId="0" fontId="31" fillId="27" borderId="0" xfId="48" applyFont="1"/>
    <xf numFmtId="0" fontId="37" fillId="0" borderId="0" xfId="0" applyFont="1" applyAlignment="1">
      <alignment wrapText="1"/>
    </xf>
    <xf numFmtId="0" fontId="24" fillId="0" borderId="0" xfId="0" applyFont="1" applyAlignment="1">
      <alignment horizontal="left"/>
    </xf>
    <xf numFmtId="164" fontId="24" fillId="0" borderId="0" xfId="0" applyNumberFormat="1" applyFont="1" applyBorder="1" applyAlignment="1">
      <alignment horizontal="right" indent="2"/>
    </xf>
    <xf numFmtId="164" fontId="0" fillId="27" borderId="0" xfId="48" applyNumberFormat="1" applyFont="1" applyBorder="1" applyAlignment="1">
      <alignment horizontal="right" indent="2"/>
    </xf>
    <xf numFmtId="164" fontId="37" fillId="0" borderId="10" xfId="0" applyNumberFormat="1" applyFont="1" applyBorder="1" applyAlignment="1">
      <alignment horizontal="right" indent="3"/>
    </xf>
    <xf numFmtId="164" fontId="37" fillId="0" borderId="0" xfId="0" applyNumberFormat="1" applyFont="1" applyBorder="1" applyAlignment="1">
      <alignment horizontal="right" indent="3"/>
    </xf>
    <xf numFmtId="164" fontId="37" fillId="0" borderId="12" xfId="0" applyNumberFormat="1" applyFont="1" applyBorder="1" applyAlignment="1">
      <alignment horizontal="right" indent="3"/>
    </xf>
    <xf numFmtId="164" fontId="24" fillId="0" borderId="10" xfId="0" applyNumberFormat="1" applyFont="1" applyBorder="1" applyAlignment="1">
      <alignment horizontal="right" indent="3"/>
    </xf>
    <xf numFmtId="164" fontId="24" fillId="0" borderId="0" xfId="0" applyNumberFormat="1" applyFont="1" applyBorder="1" applyAlignment="1">
      <alignment horizontal="right" indent="3"/>
    </xf>
    <xf numFmtId="164" fontId="24" fillId="0" borderId="12" xfId="0" applyNumberFormat="1" applyFont="1" applyBorder="1" applyAlignment="1">
      <alignment horizontal="right" indent="3"/>
    </xf>
    <xf numFmtId="164" fontId="31" fillId="27" borderId="10" xfId="48" applyNumberFormat="1" applyFont="1" applyBorder="1" applyAlignment="1">
      <alignment horizontal="right" indent="3"/>
    </xf>
    <xf numFmtId="164" fontId="31" fillId="27" borderId="0" xfId="48" applyNumberFormat="1" applyFont="1" applyBorder="1" applyAlignment="1">
      <alignment horizontal="right" indent="3"/>
    </xf>
    <xf numFmtId="164" fontId="31" fillId="27" borderId="12" xfId="48" applyNumberFormat="1" applyFont="1" applyBorder="1" applyAlignment="1">
      <alignment horizontal="right" indent="3"/>
    </xf>
    <xf numFmtId="164" fontId="0" fillId="27" borderId="10" xfId="48" applyNumberFormat="1" applyFont="1" applyBorder="1" applyAlignment="1">
      <alignment horizontal="right" indent="3"/>
    </xf>
    <xf numFmtId="164" fontId="0" fillId="27" borderId="0" xfId="48" applyNumberFormat="1" applyFont="1" applyBorder="1" applyAlignment="1">
      <alignment horizontal="right" indent="3"/>
    </xf>
    <xf numFmtId="164" fontId="0" fillId="27" borderId="12" xfId="48" applyNumberFormat="1" applyFont="1" applyBorder="1" applyAlignment="1">
      <alignment horizontal="right" indent="3"/>
    </xf>
    <xf numFmtId="164" fontId="23" fillId="26" borderId="10" xfId="47" applyNumberFormat="1" applyBorder="1" applyAlignment="1">
      <alignment horizontal="right" indent="3"/>
    </xf>
    <xf numFmtId="164" fontId="23" fillId="26" borderId="0" xfId="47" applyNumberFormat="1" applyBorder="1" applyAlignment="1">
      <alignment horizontal="right" indent="3"/>
    </xf>
    <xf numFmtId="164" fontId="23" fillId="26" borderId="12" xfId="47" applyNumberFormat="1" applyBorder="1" applyAlignment="1">
      <alignment horizontal="right" indent="3"/>
    </xf>
    <xf numFmtId="164" fontId="37" fillId="0" borderId="10" xfId="0" applyNumberFormat="1" applyFont="1" applyBorder="1" applyAlignment="1">
      <alignment horizontal="right" indent="5"/>
    </xf>
    <xf numFmtId="164" fontId="24" fillId="0" borderId="10" xfId="0" applyNumberFormat="1" applyFont="1" applyBorder="1" applyAlignment="1">
      <alignment horizontal="right" indent="5"/>
    </xf>
    <xf numFmtId="164" fontId="31" fillId="27" borderId="10" xfId="48" applyNumberFormat="1" applyFont="1" applyBorder="1" applyAlignment="1">
      <alignment horizontal="right" indent="5"/>
    </xf>
    <xf numFmtId="164" fontId="0" fillId="27" borderId="10" xfId="48" applyNumberFormat="1" applyFont="1" applyBorder="1" applyAlignment="1">
      <alignment horizontal="right" indent="5"/>
    </xf>
    <xf numFmtId="164" fontId="23" fillId="26" borderId="10" xfId="47" applyNumberFormat="1" applyBorder="1" applyAlignment="1">
      <alignment horizontal="right" indent="5"/>
    </xf>
    <xf numFmtId="0" fontId="31" fillId="27" borderId="12" xfId="48" applyFont="1" applyBorder="1" applyAlignment="1">
      <alignment horizontal="center"/>
    </xf>
    <xf numFmtId="164" fontId="0" fillId="27" borderId="11" xfId="48" applyNumberFormat="1" applyFont="1" applyBorder="1" applyAlignment="1">
      <alignment horizontal="right" indent="2"/>
    </xf>
    <xf numFmtId="164" fontId="24" fillId="0" borderId="11" xfId="0" applyNumberFormat="1" applyFont="1" applyBorder="1" applyAlignment="1">
      <alignment horizontal="right" indent="2"/>
    </xf>
    <xf numFmtId="164" fontId="0" fillId="27" borderId="11" xfId="48" applyNumberFormat="1" applyFont="1" applyBorder="1" applyAlignment="1">
      <alignment horizontal="right" indent="3"/>
    </xf>
    <xf numFmtId="164" fontId="24" fillId="0" borderId="11" xfId="0" applyNumberFormat="1" applyFont="1" applyBorder="1" applyAlignment="1">
      <alignment horizontal="right" indent="3"/>
    </xf>
    <xf numFmtId="0" fontId="24" fillId="0" borderId="0" xfId="0" applyFont="1" applyAlignment="1">
      <alignment horizontal="right"/>
    </xf>
    <xf numFmtId="0" fontId="0" fillId="27" borderId="0" xfId="48" applyFont="1" applyAlignment="1">
      <alignment horizontal="right"/>
    </xf>
    <xf numFmtId="164" fontId="24" fillId="0" borderId="0" xfId="0" applyNumberFormat="1" applyFont="1" applyAlignment="1">
      <alignment horizontal="right" indent="1"/>
    </xf>
    <xf numFmtId="0" fontId="0" fillId="27" borderId="0" xfId="48" applyFont="1" applyAlignment="1">
      <alignment horizontal="right" indent="1"/>
    </xf>
    <xf numFmtId="164" fontId="0" fillId="27" borderId="0" xfId="48" applyNumberFormat="1" applyFont="1" applyAlignment="1">
      <alignment horizontal="right" indent="1"/>
    </xf>
    <xf numFmtId="0" fontId="24" fillId="0" borderId="0" xfId="0" applyFont="1" applyAlignment="1">
      <alignment horizontal="right" indent="1"/>
    </xf>
    <xf numFmtId="164" fontId="24" fillId="0" borderId="0" xfId="0" applyNumberFormat="1" applyFont="1" applyAlignment="1">
      <alignment horizontal="right" indent="2"/>
    </xf>
    <xf numFmtId="164" fontId="0" fillId="27" borderId="0" xfId="48" applyNumberFormat="1" applyFont="1" applyAlignment="1">
      <alignment horizontal="right" indent="2"/>
    </xf>
    <xf numFmtId="164" fontId="0" fillId="27" borderId="0" xfId="48" applyNumberFormat="1" applyFont="1" applyAlignment="1">
      <alignment horizontal="right" indent="3"/>
    </xf>
    <xf numFmtId="184" fontId="24" fillId="0" borderId="11" xfId="0" applyNumberFormat="1" applyFont="1" applyBorder="1" applyAlignment="1">
      <alignment horizontal="right" indent="2"/>
    </xf>
    <xf numFmtId="184" fontId="24" fillId="0" borderId="0" xfId="0" applyNumberFormat="1" applyFont="1" applyBorder="1" applyAlignment="1">
      <alignment horizontal="right" indent="2"/>
    </xf>
    <xf numFmtId="184" fontId="0" fillId="27" borderId="11" xfId="48" applyNumberFormat="1" applyFont="1" applyBorder="1" applyAlignment="1">
      <alignment horizontal="right" indent="2"/>
    </xf>
    <xf numFmtId="184" fontId="0" fillId="27" borderId="0" xfId="48" applyNumberFormat="1" applyFont="1" applyBorder="1" applyAlignment="1">
      <alignment horizontal="right" indent="2"/>
    </xf>
    <xf numFmtId="164" fontId="31" fillId="27" borderId="0" xfId="48" applyNumberFormat="1" applyFont="1" applyAlignment="1">
      <alignment horizontal="right" indent="5"/>
    </xf>
    <xf numFmtId="169" fontId="31" fillId="27" borderId="0" xfId="0" applyNumberFormat="1" applyFont="1" applyFill="1" applyAlignment="1">
      <alignment horizontal="right" indent="4"/>
    </xf>
    <xf numFmtId="164" fontId="0" fillId="27" borderId="0" xfId="48" applyNumberFormat="1" applyFont="1" applyAlignment="1">
      <alignment horizontal="right" indent="5"/>
    </xf>
    <xf numFmtId="164" fontId="0" fillId="27" borderId="0" xfId="48" applyNumberFormat="1" applyFont="1" applyAlignment="1">
      <alignment horizontal="right" indent="4"/>
    </xf>
    <xf numFmtId="164" fontId="31" fillId="0" borderId="0" xfId="0" applyNumberFormat="1" applyFont="1" applyAlignment="1">
      <alignment horizontal="right" indent="5"/>
    </xf>
    <xf numFmtId="169" fontId="31" fillId="0" borderId="0" xfId="0" applyNumberFormat="1" applyFont="1" applyAlignment="1">
      <alignment horizontal="right" indent="4"/>
    </xf>
    <xf numFmtId="164" fontId="0" fillId="0" borderId="0" xfId="0" applyNumberFormat="1" applyAlignment="1">
      <alignment horizontal="right" indent="5"/>
    </xf>
    <xf numFmtId="164" fontId="0" fillId="0" borderId="0" xfId="0" applyNumberFormat="1" applyAlignment="1">
      <alignment horizontal="right" indent="4"/>
    </xf>
    <xf numFmtId="164" fontId="23" fillId="26" borderId="0" xfId="47" applyNumberFormat="1" applyAlignment="1">
      <alignment horizontal="right" indent="5"/>
    </xf>
    <xf numFmtId="169" fontId="23" fillId="26" borderId="0" xfId="47" applyNumberFormat="1" applyAlignment="1">
      <alignment horizontal="right" indent="4"/>
    </xf>
    <xf numFmtId="0" fontId="0" fillId="0" borderId="0" xfId="0" applyAlignment="1">
      <alignment horizontal="right" indent="4"/>
    </xf>
    <xf numFmtId="0" fontId="0" fillId="0" borderId="0" xfId="0" applyAlignment="1">
      <alignment horizontal="right"/>
    </xf>
    <xf numFmtId="0" fontId="37" fillId="0" borderId="0" xfId="0" applyFont="1" applyAlignment="1">
      <alignment horizontal="left"/>
    </xf>
    <xf numFmtId="0" fontId="23" fillId="26" borderId="0" xfId="47" applyAlignment="1">
      <alignment horizontal="right" indent="4"/>
    </xf>
    <xf numFmtId="169" fontId="24" fillId="0" borderId="0" xfId="0" applyNumberFormat="1" applyFont="1" applyAlignment="1">
      <alignment horizontal="right" indent="2"/>
    </xf>
    <xf numFmtId="164" fontId="0" fillId="30" borderId="0" xfId="48" applyNumberFormat="1" applyFont="1" applyFill="1" applyAlignment="1">
      <alignment horizontal="right" indent="2"/>
    </xf>
    <xf numFmtId="164" fontId="0" fillId="0" borderId="0" xfId="0" applyNumberFormat="1" applyAlignment="1">
      <alignment horizontal="right" indent="2"/>
    </xf>
    <xf numFmtId="0" fontId="23" fillId="26" borderId="0" xfId="47" applyAlignment="1">
      <alignment vertical="center" wrapText="1"/>
    </xf>
    <xf numFmtId="0" fontId="23" fillId="26" borderId="0" xfId="47" applyAlignment="1">
      <alignment horizontal="center" vertical="center" wrapText="1"/>
    </xf>
    <xf numFmtId="0" fontId="23" fillId="26" borderId="0" xfId="47" applyAlignment="1">
      <alignment horizontal="center" vertical="center"/>
    </xf>
    <xf numFmtId="0" fontId="0" fillId="27" borderId="0" xfId="48" applyFont="1" applyBorder="1"/>
    <xf numFmtId="0" fontId="31" fillId="27" borderId="0" xfId="48" applyFont="1" applyBorder="1"/>
    <xf numFmtId="0" fontId="0" fillId="0" borderId="0" xfId="0" applyBorder="1"/>
    <xf numFmtId="0" fontId="31" fillId="0" borderId="0" xfId="0" applyFont="1" applyBorder="1"/>
    <xf numFmtId="0" fontId="41" fillId="0" borderId="0" xfId="0" applyFont="1"/>
    <xf numFmtId="164" fontId="0" fillId="0" borderId="0" xfId="0" applyNumberFormat="1" applyBorder="1" applyAlignment="1">
      <alignment horizontal="right" indent="2"/>
    </xf>
    <xf numFmtId="164" fontId="0" fillId="0" borderId="0" xfId="0" applyNumberFormat="1" applyBorder="1" applyAlignment="1">
      <alignment horizontal="right" indent="3"/>
    </xf>
    <xf numFmtId="164" fontId="0" fillId="27" borderId="0" xfId="48" applyNumberFormat="1" applyFont="1" applyBorder="1" applyAlignment="1">
      <alignment horizontal="right" indent="4"/>
    </xf>
    <xf numFmtId="164" fontId="31" fillId="27" borderId="0" xfId="48" applyNumberFormat="1" applyFont="1" applyBorder="1" applyAlignment="1">
      <alignment horizontal="right" indent="4"/>
    </xf>
    <xf numFmtId="164" fontId="0" fillId="0" borderId="0" xfId="0" applyNumberFormat="1" applyBorder="1" applyAlignment="1">
      <alignment horizontal="right" indent="4"/>
    </xf>
    <xf numFmtId="164" fontId="31" fillId="0" borderId="0" xfId="0" applyNumberFormat="1" applyFont="1" applyBorder="1" applyAlignment="1">
      <alignment horizontal="right" indent="4"/>
    </xf>
    <xf numFmtId="164" fontId="23" fillId="26" borderId="0" xfId="47" applyNumberFormat="1" applyBorder="1" applyAlignment="1">
      <alignment horizontal="right" indent="4"/>
    </xf>
    <xf numFmtId="164" fontId="23" fillId="26" borderId="0" xfId="0" applyNumberFormat="1" applyFont="1" applyFill="1" applyBorder="1" applyAlignment="1">
      <alignment horizontal="right" indent="4"/>
    </xf>
    <xf numFmtId="164" fontId="0" fillId="27" borderId="11" xfId="48" applyNumberFormat="1" applyFont="1" applyBorder="1" applyAlignment="1">
      <alignment horizontal="right" indent="4"/>
    </xf>
    <xf numFmtId="164" fontId="31" fillId="27" borderId="11" xfId="48" applyNumberFormat="1" applyFont="1" applyBorder="1" applyAlignment="1">
      <alignment horizontal="right" indent="4"/>
    </xf>
    <xf numFmtId="164" fontId="0" fillId="0" borderId="11" xfId="0" applyNumberFormat="1" applyBorder="1" applyAlignment="1">
      <alignment horizontal="right" indent="4"/>
    </xf>
    <xf numFmtId="164" fontId="31" fillId="0" borderId="11" xfId="0" applyNumberFormat="1" applyFont="1" applyBorder="1" applyAlignment="1">
      <alignment horizontal="right" indent="4"/>
    </xf>
    <xf numFmtId="164" fontId="23" fillId="26" borderId="11" xfId="47" applyNumberFormat="1" applyBorder="1" applyAlignment="1">
      <alignment horizontal="right" indent="4"/>
    </xf>
    <xf numFmtId="164" fontId="0" fillId="0" borderId="0" xfId="0" applyNumberFormat="1"/>
    <xf numFmtId="164" fontId="23" fillId="26" borderId="0" xfId="47" applyNumberFormat="1" applyBorder="1" applyAlignment="1">
      <alignment horizontal="right" indent="7"/>
    </xf>
    <xf numFmtId="164" fontId="0" fillId="0" borderId="11" xfId="0" applyNumberFormat="1" applyBorder="1" applyAlignment="1">
      <alignment horizontal="right" indent="2"/>
    </xf>
    <xf numFmtId="0" fontId="23" fillId="26" borderId="11" xfId="47" applyBorder="1" applyAlignment="1">
      <alignment horizontal="center" vertical="center" wrapText="1"/>
    </xf>
    <xf numFmtId="164" fontId="0" fillId="0" borderId="0" xfId="0" applyNumberFormat="1" applyAlignment="1">
      <alignment horizontal="right" indent="3"/>
    </xf>
    <xf numFmtId="164" fontId="23" fillId="26" borderId="0" xfId="47" applyNumberFormat="1" applyAlignment="1">
      <alignment horizontal="right" indent="3"/>
    </xf>
    <xf numFmtId="185" fontId="0" fillId="27" borderId="0" xfId="48" applyNumberFormat="1" applyFont="1" applyAlignment="1">
      <alignment horizontal="right" indent="2"/>
    </xf>
    <xf numFmtId="185" fontId="23" fillId="26" borderId="0" xfId="47" applyNumberFormat="1" applyAlignment="1">
      <alignment horizontal="right" indent="2"/>
    </xf>
    <xf numFmtId="185" fontId="0" fillId="0" borderId="0" xfId="0" applyNumberFormat="1" applyAlignment="1">
      <alignment horizontal="right" indent="4"/>
    </xf>
    <xf numFmtId="0" fontId="22" fillId="0" borderId="0" xfId="56" applyFont="1"/>
    <xf numFmtId="0" fontId="31" fillId="0" borderId="0" xfId="55" applyFont="1"/>
    <xf numFmtId="0" fontId="31" fillId="0" borderId="0" xfId="56" applyFont="1"/>
    <xf numFmtId="16" fontId="22" fillId="0" borderId="0" xfId="56" quotePrefix="1" applyNumberFormat="1" applyFont="1" applyAlignment="1">
      <alignment horizontal="center"/>
    </xf>
    <xf numFmtId="0" fontId="22" fillId="27" borderId="0" xfId="48" applyBorder="1" applyAlignment="1">
      <alignment horizontal="center"/>
    </xf>
    <xf numFmtId="0" fontId="22" fillId="0" borderId="0" xfId="56" applyFont="1" applyAlignment="1">
      <alignment horizontal="center"/>
    </xf>
    <xf numFmtId="0" fontId="22" fillId="0" borderId="0" xfId="56" quotePrefix="1" applyFont="1" applyAlignment="1">
      <alignment horizontal="center"/>
    </xf>
    <xf numFmtId="166" fontId="31" fillId="0" borderId="0" xfId="56" applyNumberFormat="1" applyFont="1"/>
    <xf numFmtId="165" fontId="31" fillId="0" borderId="0" xfId="56" applyNumberFormat="1" applyFont="1"/>
    <xf numFmtId="164" fontId="26" fillId="0" borderId="0" xfId="55" applyNumberFormat="1" applyFont="1"/>
    <xf numFmtId="164" fontId="22" fillId="0" borderId="11" xfId="56" applyNumberFormat="1" applyFont="1" applyBorder="1" applyAlignment="1">
      <alignment horizontal="right" indent="4" readingOrder="2"/>
    </xf>
    <xf numFmtId="164" fontId="22" fillId="0" borderId="0" xfId="56" applyNumberFormat="1" applyFont="1" applyAlignment="1">
      <alignment horizontal="right" indent="4" readingOrder="1"/>
    </xf>
    <xf numFmtId="164" fontId="22" fillId="0" borderId="0" xfId="56" applyNumberFormat="1" applyFont="1" applyAlignment="1">
      <alignment horizontal="right" indent="4" readingOrder="2"/>
    </xf>
    <xf numFmtId="164" fontId="22" fillId="27" borderId="11" xfId="48" applyNumberFormat="1" applyBorder="1" applyAlignment="1">
      <alignment horizontal="right" indent="4" readingOrder="2"/>
    </xf>
    <xf numFmtId="164" fontId="22" fillId="27" borderId="0" xfId="48" applyNumberFormat="1" applyBorder="1" applyAlignment="1">
      <alignment horizontal="right" indent="4" readingOrder="1"/>
    </xf>
    <xf numFmtId="164" fontId="22" fillId="27" borderId="0" xfId="48" applyNumberFormat="1" applyBorder="1" applyAlignment="1">
      <alignment horizontal="right" indent="4" readingOrder="2"/>
    </xf>
    <xf numFmtId="164" fontId="23" fillId="26" borderId="11" xfId="47" applyNumberFormat="1" applyBorder="1" applyAlignment="1">
      <alignment horizontal="right" indent="4" readingOrder="2"/>
    </xf>
    <xf numFmtId="164" fontId="23" fillId="26" borderId="0" xfId="47" applyNumberFormat="1" applyBorder="1" applyAlignment="1">
      <alignment horizontal="right" vertical="center" indent="4" readingOrder="1"/>
    </xf>
    <xf numFmtId="164" fontId="23" fillId="26" borderId="0" xfId="47" applyNumberFormat="1" applyBorder="1" applyAlignment="1">
      <alignment horizontal="right" indent="4" readingOrder="2"/>
    </xf>
    <xf numFmtId="164" fontId="22" fillId="0" borderId="14" xfId="56" applyNumberFormat="1" applyFont="1" applyBorder="1" applyAlignment="1">
      <alignment horizontal="right" indent="4" readingOrder="2"/>
    </xf>
    <xf numFmtId="164" fontId="22" fillId="27" borderId="14" xfId="48" applyNumberFormat="1" applyBorder="1" applyAlignment="1">
      <alignment horizontal="right" indent="4" readingOrder="2"/>
    </xf>
    <xf numFmtId="164" fontId="23" fillId="26" borderId="14" xfId="47" applyNumberFormat="1" applyBorder="1" applyAlignment="1">
      <alignment horizontal="right" indent="4" readingOrder="2"/>
    </xf>
    <xf numFmtId="0" fontId="0" fillId="0" borderId="0" xfId="0" applyAlignment="1"/>
    <xf numFmtId="0" fontId="0" fillId="30" borderId="0" xfId="0" applyFill="1"/>
    <xf numFmtId="164" fontId="0" fillId="30" borderId="0" xfId="48" applyNumberFormat="1" applyFont="1" applyFill="1" applyAlignment="1">
      <alignment horizontal="right" indent="3"/>
    </xf>
    <xf numFmtId="164" fontId="0" fillId="30" borderId="0" xfId="0" applyNumberFormat="1" applyFill="1" applyAlignment="1">
      <alignment horizontal="right" indent="3"/>
    </xf>
    <xf numFmtId="0" fontId="22" fillId="27" borderId="0" xfId="48" applyAlignment="1">
      <alignment horizontal="left" vertical="center"/>
    </xf>
    <xf numFmtId="0" fontId="0" fillId="0" borderId="0" xfId="0" applyAlignment="1">
      <alignment horizontal="left" wrapText="1"/>
    </xf>
    <xf numFmtId="0" fontId="31" fillId="27" borderId="11" xfId="48" applyFont="1" applyBorder="1" applyAlignment="1">
      <alignment horizontal="center"/>
    </xf>
    <xf numFmtId="0" fontId="31" fillId="27" borderId="0" xfId="48" applyFont="1" applyBorder="1" applyAlignment="1">
      <alignment horizontal="center"/>
    </xf>
    <xf numFmtId="0" fontId="22" fillId="27" borderId="0" xfId="48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2" fillId="0" borderId="0" xfId="81" applyFont="1" applyAlignment="1">
      <alignment horizontal="center"/>
    </xf>
    <xf numFmtId="0" fontId="31" fillId="27" borderId="14" xfId="48" applyFont="1" applyBorder="1" applyAlignment="1">
      <alignment horizontal="center"/>
    </xf>
    <xf numFmtId="0" fontId="22" fillId="0" borderId="11" xfId="81" applyFont="1" applyBorder="1" applyAlignment="1">
      <alignment horizontal="center"/>
    </xf>
    <xf numFmtId="0" fontId="22" fillId="0" borderId="14" xfId="81" applyFont="1" applyBorder="1" applyAlignment="1">
      <alignment horizontal="center"/>
    </xf>
    <xf numFmtId="0" fontId="31" fillId="27" borderId="0" xfId="48" applyFont="1" applyAlignment="1">
      <alignment horizontal="center"/>
    </xf>
    <xf numFmtId="0" fontId="31" fillId="27" borderId="11" xfId="48" applyFont="1" applyBorder="1" applyAlignment="1">
      <alignment horizontal="center" vertical="center"/>
    </xf>
    <xf numFmtId="0" fontId="31" fillId="27" borderId="14" xfId="48" applyFont="1" applyBorder="1" applyAlignment="1">
      <alignment horizontal="center" vertical="center"/>
    </xf>
    <xf numFmtId="0" fontId="31" fillId="27" borderId="0" xfId="48" applyFont="1" applyBorder="1" applyAlignment="1">
      <alignment horizontal="center" vertical="center"/>
    </xf>
    <xf numFmtId="0" fontId="31" fillId="27" borderId="0" xfId="48" applyFont="1" applyAlignment="1">
      <alignment horizontal="center" vertical="center"/>
    </xf>
    <xf numFmtId="0" fontId="31" fillId="0" borderId="0" xfId="81" applyFont="1" applyAlignment="1">
      <alignment horizontal="left" vertical="center" wrapText="1"/>
    </xf>
    <xf numFmtId="164" fontId="31" fillId="27" borderId="11" xfId="48" applyNumberFormat="1" applyFont="1" applyBorder="1" applyAlignment="1">
      <alignment horizontal="center"/>
    </xf>
    <xf numFmtId="164" fontId="31" fillId="27" borderId="14" xfId="48" applyNumberFormat="1" applyFont="1" applyBorder="1" applyAlignment="1">
      <alignment horizontal="center"/>
    </xf>
    <xf numFmtId="0" fontId="31" fillId="0" borderId="0" xfId="81" applyFont="1" applyAlignment="1">
      <alignment horizontal="left" wrapText="1"/>
    </xf>
    <xf numFmtId="178" fontId="31" fillId="27" borderId="11" xfId="48" applyNumberFormat="1" applyFont="1" applyBorder="1" applyAlignment="1">
      <alignment horizontal="center"/>
    </xf>
    <xf numFmtId="178" fontId="31" fillId="27" borderId="14" xfId="48" applyNumberFormat="1" applyFont="1" applyBorder="1" applyAlignment="1">
      <alignment horizontal="center"/>
    </xf>
    <xf numFmtId="178" fontId="31" fillId="27" borderId="0" xfId="48" applyNumberFormat="1" applyFont="1" applyBorder="1" applyAlignment="1">
      <alignment horizontal="center"/>
    </xf>
    <xf numFmtId="178" fontId="31" fillId="27" borderId="0" xfId="48" applyNumberFormat="1" applyFont="1" applyAlignment="1">
      <alignment horizontal="center"/>
    </xf>
    <xf numFmtId="0" fontId="31" fillId="27" borderId="10" xfId="48" applyFont="1" applyBorder="1" applyAlignment="1">
      <alignment horizontal="center"/>
    </xf>
    <xf numFmtId="0" fontId="26" fillId="0" borderId="0" xfId="0" quotePrefix="1" applyFont="1" applyAlignment="1">
      <alignment horizontal="left" wrapText="1"/>
    </xf>
    <xf numFmtId="0" fontId="26" fillId="0" borderId="0" xfId="0" quotePrefix="1" applyFont="1" applyAlignment="1">
      <alignment horizontal="left"/>
    </xf>
    <xf numFmtId="0" fontId="23" fillId="26" borderId="0" xfId="47" applyAlignment="1">
      <alignment horizontal="center"/>
    </xf>
    <xf numFmtId="0" fontId="23" fillId="26" borderId="10" xfId="47" applyBorder="1" applyAlignment="1">
      <alignment horizontal="center"/>
    </xf>
    <xf numFmtId="0" fontId="23" fillId="26" borderId="0" xfId="47" applyBorder="1" applyAlignment="1">
      <alignment horizont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31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27" borderId="11" xfId="48" applyNumberFormat="1" applyFont="1" applyBorder="1" applyAlignment="1">
      <alignment horizontal="center"/>
    </xf>
    <xf numFmtId="164" fontId="0" fillId="27" borderId="0" xfId="48" applyNumberFormat="1" applyFont="1" applyBorder="1" applyAlignment="1">
      <alignment horizontal="center"/>
    </xf>
    <xf numFmtId="0" fontId="31" fillId="27" borderId="11" xfId="48" applyFont="1" applyBorder="1" applyAlignment="1">
      <alignment horizontal="center" vertical="center" wrapText="1"/>
    </xf>
    <xf numFmtId="0" fontId="31" fillId="27" borderId="0" xfId="48" applyFont="1" applyBorder="1" applyAlignment="1">
      <alignment horizontal="center" vertical="center" wrapText="1"/>
    </xf>
  </cellXfs>
  <cellStyles count="86">
    <cellStyle name="20% - Énfasis1" xfId="1" builtinId="30" hidden="1" customBuiltin="1"/>
    <cellStyle name="20% - Énfasis2" xfId="2" builtinId="34" hidden="1" customBuiltin="1"/>
    <cellStyle name="20% - Énfasis3" xfId="3" builtinId="38" hidden="1" customBuiltin="1"/>
    <cellStyle name="20% - Énfasis4" xfId="4" builtinId="42" hidden="1" customBuiltin="1"/>
    <cellStyle name="20% - Énfasis5" xfId="5" builtinId="46" hidden="1" customBuiltin="1"/>
    <cellStyle name="20% - Énfasis6" xfId="6" builtinId="50" hidden="1" customBuiltin="1"/>
    <cellStyle name="40% - Énfasis1" xfId="7" builtinId="31" hidden="1" customBuiltin="1"/>
    <cellStyle name="40% - Énfasis2" xfId="8" builtinId="35" hidden="1" customBuiltin="1"/>
    <cellStyle name="40% - Énfasis3" xfId="9" builtinId="39" hidden="1" customBuiltin="1"/>
    <cellStyle name="40% - Énfasis4" xfId="10" builtinId="43" hidden="1" customBuiltin="1"/>
    <cellStyle name="40% - Énfasis5" xfId="11" builtinId="47" hidden="1" customBuiltin="1"/>
    <cellStyle name="40% - Énfasis6" xfId="12" builtinId="51" hidden="1" customBuiltin="1"/>
    <cellStyle name="60% - Énfasis1" xfId="13" builtinId="32" hidden="1" customBuiltin="1"/>
    <cellStyle name="60% - Énfasis2" xfId="14" builtinId="36" hidden="1" customBuiltin="1"/>
    <cellStyle name="60% - Énfasis3" xfId="15" builtinId="40" hidden="1" customBuiltin="1"/>
    <cellStyle name="60% - Énfasis4" xfId="16" builtinId="44" hidden="1" customBuiltin="1"/>
    <cellStyle name="60% - Énfasis5" xfId="17" builtinId="48" hidden="1" customBuiltin="1"/>
    <cellStyle name="60% - Énfasis6" xfId="18" builtinId="52" hidden="1" customBuiltin="1"/>
    <cellStyle name="Bueno" xfId="19" builtinId="26" hidden="1" customBuiltin="1"/>
    <cellStyle name="Cabecera" xfId="47" xr:uid="{00000000-0005-0000-0000-000025000000}"/>
    <cellStyle name="Cálculo" xfId="20" builtinId="22" hidden="1" customBuiltin="1"/>
    <cellStyle name="Celda de comprobación" xfId="21" builtinId="23" hidden="1" customBuiltin="1"/>
    <cellStyle name="Celda vinculada" xfId="22" builtinId="24" hidden="1" customBuiltin="1"/>
    <cellStyle name="Clara" xfId="48" xr:uid="{00000000-0005-0000-0000-00002B000000}"/>
    <cellStyle name="Correcto" xfId="59" xr:uid="{00000000-0005-0000-0000-00002C000000}"/>
    <cellStyle name="Encabezado 1" xfId="38" builtinId="16" hidden="1" customBuiltin="1"/>
    <cellStyle name="Encabezado 4" xfId="23" builtinId="19" hidden="1" customBuiltin="1"/>
    <cellStyle name="Énfase1" xfId="60" xr:uid="{00000000-0005-0000-0000-00002E000000}"/>
    <cellStyle name="Énfase2" xfId="61" xr:uid="{00000000-0005-0000-0000-00002F000000}"/>
    <cellStyle name="Énfase3" xfId="62" xr:uid="{00000000-0005-0000-0000-000030000000}"/>
    <cellStyle name="Énfase4" xfId="63" xr:uid="{00000000-0005-0000-0000-000031000000}"/>
    <cellStyle name="Énfase5" xfId="64" xr:uid="{00000000-0005-0000-0000-000032000000}"/>
    <cellStyle name="Énfase6" xfId="65" xr:uid="{00000000-0005-0000-0000-000033000000}"/>
    <cellStyle name="Énfasis1" xfId="24" builtinId="29" hidden="1" customBuiltin="1"/>
    <cellStyle name="Énfasis2" xfId="25" builtinId="33" hidden="1" customBuiltin="1"/>
    <cellStyle name="Énfasis3" xfId="26" builtinId="37" hidden="1" customBuiltin="1"/>
    <cellStyle name="Énfasis4" xfId="27" builtinId="41" hidden="1" customBuiltin="1"/>
    <cellStyle name="Énfasis5" xfId="28" builtinId="45" hidden="1" customBuiltin="1"/>
    <cellStyle name="Énfasis6" xfId="29" builtinId="49" hidden="1" customBuiltin="1"/>
    <cellStyle name="Entrada" xfId="30" builtinId="20" hidden="1" customBuiltin="1"/>
    <cellStyle name="Euro" xfId="66" xr:uid="{00000000-0005-0000-0000-00003B000000}"/>
    <cellStyle name="Excel Built-in Normal" xfId="52" xr:uid="{00000000-0005-0000-0000-00003C000000}"/>
    <cellStyle name="Hipervínculo" xfId="51" builtinId="8" hidden="1"/>
    <cellStyle name="Incorrecto" xfId="31" builtinId="27" hidden="1" customBuiltin="1"/>
    <cellStyle name="Millares" xfId="42" builtinId="3" hidden="1"/>
    <cellStyle name="Millares" xfId="50" builtinId="3" hidden="1"/>
    <cellStyle name="Millares [0]" xfId="43" builtinId="6" hidden="1"/>
    <cellStyle name="Millares 2" xfId="67" xr:uid="{00000000-0005-0000-0000-000042000000}"/>
    <cellStyle name="Millares 2 2" xfId="84" xr:uid="{22A8CD07-FB36-473D-984F-5CF224066A1C}"/>
    <cellStyle name="Moneda" xfId="44" builtinId="4" hidden="1"/>
    <cellStyle name="Moneda [0]" xfId="45" builtinId="7" hidden="1"/>
    <cellStyle name="Neutral" xfId="32" builtinId="28" hidden="1" customBuiltin="1"/>
    <cellStyle name="Neutro" xfId="68" xr:uid="{00000000-0005-0000-0000-000046000000}"/>
    <cellStyle name="Normal" xfId="0" builtinId="0" customBuiltin="1"/>
    <cellStyle name="Normal 2" xfId="69" xr:uid="{00000000-0005-0000-0000-000048000000}"/>
    <cellStyle name="Normal 2 2" xfId="56" xr:uid="{00000000-0005-0000-0000-000049000000}"/>
    <cellStyle name="Normal 2 3" xfId="83" xr:uid="{A4AB8B00-0B00-4D0D-AA54-9788108435AA}"/>
    <cellStyle name="Normal 3" xfId="70" xr:uid="{00000000-0005-0000-0000-00004A000000}"/>
    <cellStyle name="Normal 3 2" xfId="71" xr:uid="{00000000-0005-0000-0000-00004B000000}"/>
    <cellStyle name="Normal 3 3" xfId="57" xr:uid="{00000000-0005-0000-0000-00004C000000}"/>
    <cellStyle name="Normal 3 4" xfId="53" xr:uid="{00000000-0005-0000-0000-00004D000000}"/>
    <cellStyle name="Normal 3 4 2" xfId="54" xr:uid="{00000000-0005-0000-0000-00004E000000}"/>
    <cellStyle name="Normal 4" xfId="72" xr:uid="{00000000-0005-0000-0000-00004F000000}"/>
    <cellStyle name="Normal 5" xfId="73" xr:uid="{00000000-0005-0000-0000-000050000000}"/>
    <cellStyle name="Normal 6" xfId="55" xr:uid="{00000000-0005-0000-0000-000051000000}"/>
    <cellStyle name="Normal 7" xfId="81" xr:uid="{F473DFD6-DA8E-41EF-9859-5D3808115603}"/>
    <cellStyle name="Normal 8" xfId="85" xr:uid="{9BD15C09-BA63-4C01-8B8E-716D16A00588}"/>
    <cellStyle name="Nota" xfId="74" xr:uid="{00000000-0005-0000-0000-000052000000}"/>
    <cellStyle name="Notas" xfId="33" builtinId="10" hidden="1" customBuiltin="1"/>
    <cellStyle name="Porcentaje" xfId="46" builtinId="5" hidden="1"/>
    <cellStyle name="Porcentaje" xfId="49" builtinId="5" hidden="1"/>
    <cellStyle name="Porcentaje 2" xfId="75" xr:uid="{00000000-0005-0000-0000-000056000000}"/>
    <cellStyle name="Porcentaje 2 2" xfId="82" xr:uid="{61DCB88F-973A-4BA6-928C-F6A617E3CDAD}"/>
    <cellStyle name="Porcentaje 3" xfId="76" xr:uid="{00000000-0005-0000-0000-000057000000}"/>
    <cellStyle name="Porcentaje 4" xfId="58" xr:uid="{00000000-0005-0000-0000-000058000000}"/>
    <cellStyle name="Porcentual 2" xfId="77" xr:uid="{00000000-0005-0000-0000-000059000000}"/>
    <cellStyle name="Saída" xfId="78" xr:uid="{00000000-0005-0000-0000-00005A000000}"/>
    <cellStyle name="Salida" xfId="34" builtinId="21" hidden="1" customBuiltin="1"/>
    <cellStyle name="Texto de advertencia" xfId="35" builtinId="11" hidden="1" customBuiltin="1"/>
    <cellStyle name="Texto de aviso" xfId="79" xr:uid="{00000000-0005-0000-0000-00005D000000}"/>
    <cellStyle name="Texto explicativo" xfId="36" builtinId="53" hidden="1" customBuiltin="1"/>
    <cellStyle name="Título" xfId="37" builtinId="15" hidden="1" customBuiltin="1"/>
    <cellStyle name="Título 2" xfId="39" builtinId="17" hidden="1" customBuiltin="1"/>
    <cellStyle name="Título 3" xfId="40" builtinId="18" hidden="1" customBuiltin="1"/>
    <cellStyle name="Título 4" xfId="80" xr:uid="{00000000-0005-0000-0000-000063000000}"/>
    <cellStyle name="Total" xfId="41" builtinId="25" hidden="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0C0C0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87DA"/>
      <color rgb="FFDDE6F7"/>
      <color rgb="FFD9E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DEGA/Mis%20documentos/Textos-publicaci&#243;ns%20mi&#241;as/artigos%20publicados/Texto%20exposici&#243;n%20gandeir&#237;a/cadros%20exposici&#243;n%20gandeir&#237;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DEGA/Mis%20documentos/Textos-publicaci&#243;ns%20mi&#241;as/informes/informe%202002/Cadros/GRAF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DEGA/Mis%20documentos/Textos-publicaci&#243;ns%20mi&#241;as/informes/informe%202002/Cadros/GRAF-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Textos-publicaci&#243;ns%20mi&#241;as\informes\informe%202002\Cadros\Cadros%20Informe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 1"/>
      <sheetName val="datos gráfico 1"/>
      <sheetName val="gráfico 2"/>
      <sheetName val="datos gráfico 2"/>
      <sheetName val="cadro 1"/>
      <sheetName val="cadro 2"/>
      <sheetName val="Hoja3"/>
    </sheetNames>
    <sheetDataSet>
      <sheetData sheetId="0" refreshError="1"/>
      <sheetData sheetId="1"/>
      <sheetData sheetId="2" refreshError="1"/>
      <sheetData sheetId="3">
        <row r="6">
          <cell r="B6" t="str">
            <v>1985</v>
          </cell>
          <cell r="C6" t="str">
            <v>1989</v>
          </cell>
          <cell r="D6" t="str">
            <v>1992</v>
          </cell>
          <cell r="E6" t="str">
            <v>1993</v>
          </cell>
          <cell r="F6" t="str">
            <v>1994</v>
          </cell>
          <cell r="G6">
            <v>1995</v>
          </cell>
          <cell r="H6">
            <v>1996</v>
          </cell>
          <cell r="I6">
            <v>1997</v>
          </cell>
        </row>
        <row r="10">
          <cell r="B10">
            <v>7.733018503668064E-2</v>
          </cell>
          <cell r="C10">
            <v>7.4719289108728298E-2</v>
          </cell>
          <cell r="D10">
            <v>7.6299652637280307E-2</v>
          </cell>
          <cell r="E10">
            <v>7.3258953065115387E-2</v>
          </cell>
          <cell r="F10">
            <v>6.9387953700556004E-2</v>
          </cell>
          <cell r="G10">
            <v>7.2903907344547006E-2</v>
          </cell>
          <cell r="H10">
            <v>7.258979735401376E-2</v>
          </cell>
          <cell r="I10">
            <v>6.507787530143376E-2</v>
          </cell>
        </row>
        <row r="20">
          <cell r="B20">
            <v>7.4169458449834233E-2</v>
          </cell>
          <cell r="C20">
            <v>7.7745083598195652E-2</v>
          </cell>
          <cell r="D20">
            <v>7.005174931473751E-2</v>
          </cell>
          <cell r="E20">
            <v>5.8512529959929442E-2</v>
          </cell>
          <cell r="F20">
            <v>5.8866824423189169E-2</v>
          </cell>
          <cell r="G20">
            <v>5.8198162529381148E-2</v>
          </cell>
          <cell r="H20">
            <v>5.3443613528090024E-2</v>
          </cell>
          <cell r="I20">
            <v>5.4726779989147413E-2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2"/>
      <sheetName val="A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3"/>
      <sheetName val="A"/>
    </sheetNames>
    <sheetDataSet>
      <sheetData sheetId="0" refreshError="1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dro 1"/>
      <sheetName val="cadro 2"/>
      <sheetName val="cadro 3"/>
      <sheetName val="cadro 4"/>
      <sheetName val="cadro 5"/>
      <sheetName val="cadro 6"/>
      <sheetName val="cadro 7"/>
      <sheetName val="cadro 8"/>
      <sheetName val="cadro 9"/>
      <sheetName val="cadro 10"/>
      <sheetName val="cadro 11"/>
      <sheetName val="cadro 12"/>
      <sheetName val="cadro 13"/>
      <sheetName val="cadro 14"/>
      <sheetName val="cadro 15"/>
      <sheetName val="cadro 16"/>
      <sheetName val="cadro 17"/>
      <sheetName val="cadro 18"/>
      <sheetName val="cadro 19"/>
      <sheetName val="cadro 20"/>
      <sheetName val="cadro 21"/>
      <sheetName val="cadro 22"/>
      <sheetName val="cadro 23"/>
      <sheetName val="cadro 24"/>
      <sheetName val="cadro 25"/>
      <sheetName val="cadro 26"/>
      <sheetName val="cadro 27"/>
      <sheetName val="cadro 28"/>
      <sheetName val="cadro 29"/>
      <sheetName val="cadro 30"/>
      <sheetName val="cadro 31"/>
      <sheetName val="cadro32"/>
      <sheetName val="cadro33"/>
      <sheetName val="cadro 34"/>
      <sheetName val="cadro 35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D2436-227F-40E2-9C83-9EFACE8738C9}">
  <sheetPr codeName="Hoja2"/>
  <dimension ref="A1:E29"/>
  <sheetViews>
    <sheetView showGridLines="0" workbookViewId="0">
      <selection sqref="A1:E29"/>
    </sheetView>
  </sheetViews>
  <sheetFormatPr baseColWidth="10" defaultRowHeight="16.5"/>
  <cols>
    <col min="1" max="1" width="12.36328125" customWidth="1"/>
    <col min="2" max="2" width="16" customWidth="1"/>
  </cols>
  <sheetData>
    <row r="1" spans="1:5">
      <c r="A1" t="s">
        <v>0</v>
      </c>
    </row>
    <row r="2" spans="1:5">
      <c r="A2" s="8" t="s">
        <v>257</v>
      </c>
    </row>
    <row r="3" spans="1:5">
      <c r="A3" t="s">
        <v>258</v>
      </c>
    </row>
    <row r="5" spans="1:5">
      <c r="C5" s="309" t="s">
        <v>227</v>
      </c>
      <c r="D5" s="310"/>
      <c r="E5" s="310"/>
    </row>
    <row r="6" spans="1:5">
      <c r="A6" s="10"/>
      <c r="B6" s="10"/>
      <c r="C6" s="15" t="s">
        <v>229</v>
      </c>
      <c r="D6" s="16" t="s">
        <v>230</v>
      </c>
      <c r="E6" s="16" t="s">
        <v>4</v>
      </c>
    </row>
    <row r="7" spans="1:5">
      <c r="A7" s="307">
        <v>1982</v>
      </c>
      <c r="B7" s="11" t="s">
        <v>250</v>
      </c>
      <c r="C7" s="17">
        <v>226849</v>
      </c>
      <c r="D7" s="18">
        <v>6511</v>
      </c>
      <c r="E7" s="18">
        <v>233360</v>
      </c>
    </row>
    <row r="8" spans="1:5">
      <c r="A8" s="307"/>
      <c r="B8" s="12" t="s">
        <v>228</v>
      </c>
      <c r="C8" s="17">
        <v>504362.94000000251</v>
      </c>
      <c r="D8" s="18">
        <v>112422.12999999993</v>
      </c>
      <c r="E8" s="18">
        <v>616785.07000000239</v>
      </c>
    </row>
    <row r="9" spans="1:5">
      <c r="A9" s="313">
        <v>1989</v>
      </c>
      <c r="B9" s="9" t="s">
        <v>250</v>
      </c>
      <c r="C9" s="19">
        <v>161059</v>
      </c>
      <c r="D9" s="20">
        <v>9723</v>
      </c>
      <c r="E9" s="20">
        <v>170782</v>
      </c>
    </row>
    <row r="10" spans="1:5">
      <c r="A10" s="313"/>
      <c r="B10" t="s">
        <v>228</v>
      </c>
      <c r="C10" s="19">
        <v>431162.14000000089</v>
      </c>
      <c r="D10" s="20">
        <v>192645.81999999998</v>
      </c>
      <c r="E10" s="20">
        <v>623807.96000000089</v>
      </c>
    </row>
    <row r="11" spans="1:5">
      <c r="A11" s="307">
        <v>1999</v>
      </c>
      <c r="B11" s="11" t="s">
        <v>250</v>
      </c>
      <c r="C11" s="17">
        <v>101449</v>
      </c>
      <c r="D11" s="18">
        <v>16903</v>
      </c>
      <c r="E11" s="18">
        <v>118352</v>
      </c>
    </row>
    <row r="12" spans="1:5">
      <c r="A12" s="307"/>
      <c r="B12" s="12" t="s">
        <v>228</v>
      </c>
      <c r="C12" s="17">
        <v>301067.49000000092</v>
      </c>
      <c r="D12" s="18">
        <v>356062.80999999976</v>
      </c>
      <c r="E12" s="18">
        <v>657130.30000000075</v>
      </c>
    </row>
    <row r="13" spans="1:5">
      <c r="A13" s="313">
        <v>2009</v>
      </c>
      <c r="B13" s="9" t="s">
        <v>250</v>
      </c>
      <c r="C13" s="19">
        <v>62836</v>
      </c>
      <c r="D13" s="20">
        <v>18338</v>
      </c>
      <c r="E13" s="20">
        <v>81174</v>
      </c>
    </row>
    <row r="14" spans="1:5">
      <c r="A14" s="313"/>
      <c r="B14" t="s">
        <v>228</v>
      </c>
      <c r="C14" s="19">
        <v>170341.16999999987</v>
      </c>
      <c r="D14" s="20">
        <v>477257.24999999971</v>
      </c>
      <c r="E14" s="20">
        <v>647598.41999999958</v>
      </c>
    </row>
    <row r="15" spans="1:5">
      <c r="A15" s="307">
        <v>2020</v>
      </c>
      <c r="B15" s="11" t="s">
        <v>250</v>
      </c>
      <c r="C15" s="17">
        <v>59033</v>
      </c>
      <c r="D15" s="18">
        <v>16418</v>
      </c>
      <c r="E15" s="18">
        <v>75451</v>
      </c>
    </row>
    <row r="16" spans="1:5">
      <c r="A16" s="307"/>
      <c r="B16" s="12" t="s">
        <v>228</v>
      </c>
      <c r="C16" s="17">
        <v>138829</v>
      </c>
      <c r="D16" s="18">
        <v>459164</v>
      </c>
      <c r="E16" s="18">
        <v>597993</v>
      </c>
    </row>
    <row r="17" spans="1:5" ht="3.95" customHeight="1">
      <c r="A17" s="13"/>
      <c r="B17" s="14"/>
      <c r="C17" s="14"/>
      <c r="D17" s="14"/>
      <c r="E17" s="14"/>
    </row>
    <row r="18" spans="1:5">
      <c r="A18" s="311" t="s">
        <v>251</v>
      </c>
      <c r="B18" s="11" t="s">
        <v>250</v>
      </c>
      <c r="C18" s="21">
        <v>-4.7752737722320688</v>
      </c>
      <c r="D18" s="22">
        <v>5.8958501967371291</v>
      </c>
      <c r="E18" s="22">
        <v>-4.3619282522391227</v>
      </c>
    </row>
    <row r="19" spans="1:5">
      <c r="A19" s="311"/>
      <c r="B19" s="12" t="s">
        <v>231</v>
      </c>
      <c r="C19" s="21">
        <v>-2.2152647049993535</v>
      </c>
      <c r="D19" s="22">
        <v>7.9979215029793105</v>
      </c>
      <c r="E19" s="22">
        <v>0.16187299044718717</v>
      </c>
    </row>
    <row r="20" spans="1:5">
      <c r="A20" s="312" t="s">
        <v>252</v>
      </c>
      <c r="B20" s="9" t="s">
        <v>250</v>
      </c>
      <c r="C20" s="23">
        <v>-4.5169513050661081</v>
      </c>
      <c r="D20" s="24">
        <v>5.6857297643503557</v>
      </c>
      <c r="E20" s="24">
        <v>-3.600817572863324</v>
      </c>
    </row>
    <row r="21" spans="1:5">
      <c r="A21" s="312"/>
      <c r="B21" t="s">
        <v>231</v>
      </c>
      <c r="C21" s="23">
        <v>-3.5277685007181758</v>
      </c>
      <c r="D21" s="24">
        <v>6.3351143585242742</v>
      </c>
      <c r="E21" s="24">
        <v>0.52175401972520685</v>
      </c>
    </row>
    <row r="22" spans="1:5">
      <c r="A22" s="311" t="s">
        <v>253</v>
      </c>
      <c r="B22" s="11" t="s">
        <v>250</v>
      </c>
      <c r="C22" s="21">
        <v>-4.6773568726082519</v>
      </c>
      <c r="D22" s="22">
        <v>0.81817176681744375</v>
      </c>
      <c r="E22" s="22">
        <v>-3.7004773016405701</v>
      </c>
    </row>
    <row r="23" spans="1:5">
      <c r="A23" s="311"/>
      <c r="B23" s="12" t="s">
        <v>231</v>
      </c>
      <c r="C23" s="21">
        <v>-5.53616423570592</v>
      </c>
      <c r="D23" s="22">
        <v>2.9728165667412654</v>
      </c>
      <c r="E23" s="22">
        <v>-0.14600872859350522</v>
      </c>
    </row>
    <row r="24" spans="1:5">
      <c r="A24" s="312" t="s">
        <v>254</v>
      </c>
      <c r="B24" s="9" t="s">
        <v>250</v>
      </c>
      <c r="C24" s="23">
        <v>-0.5659519514886302</v>
      </c>
      <c r="D24" s="24">
        <v>-1.000390791046768</v>
      </c>
      <c r="E24" s="24">
        <v>-0.66244662841274948</v>
      </c>
    </row>
    <row r="25" spans="1:5">
      <c r="A25" s="312"/>
      <c r="B25" t="s">
        <v>231</v>
      </c>
      <c r="C25" s="23">
        <v>-1.8424549232255671</v>
      </c>
      <c r="D25" s="24">
        <v>-0.35073085169332607</v>
      </c>
      <c r="E25" s="24">
        <v>-0.72185234730979264</v>
      </c>
    </row>
    <row r="26" spans="1:5">
      <c r="A26" s="311" t="s">
        <v>255</v>
      </c>
      <c r="B26" s="11" t="s">
        <v>250</v>
      </c>
      <c r="C26" s="21">
        <v>-3.4805843748517917</v>
      </c>
      <c r="D26" s="22">
        <v>2.4637698526251972</v>
      </c>
      <c r="E26" s="22">
        <v>-2.9276033442813265</v>
      </c>
    </row>
    <row r="27" spans="1:5">
      <c r="A27" s="311"/>
      <c r="B27" s="12" t="s">
        <v>231</v>
      </c>
      <c r="C27" s="21">
        <v>-3.3378974295430353</v>
      </c>
      <c r="D27" s="22">
        <v>3.7724333438566182</v>
      </c>
      <c r="E27" s="22">
        <v>-8.1392038124117327E-2</v>
      </c>
    </row>
    <row r="28" spans="1:5" ht="3.95" customHeight="1"/>
    <row r="29" spans="1:5" ht="32.25" customHeight="1">
      <c r="A29" s="308" t="s">
        <v>256</v>
      </c>
      <c r="B29" s="308"/>
      <c r="C29" s="308"/>
      <c r="D29" s="308"/>
      <c r="E29" s="308"/>
    </row>
  </sheetData>
  <mergeCells count="12">
    <mergeCell ref="A15:A16"/>
    <mergeCell ref="A29:E29"/>
    <mergeCell ref="C5:E5"/>
    <mergeCell ref="A18:A19"/>
    <mergeCell ref="A20:A21"/>
    <mergeCell ref="A22:A23"/>
    <mergeCell ref="A24:A25"/>
    <mergeCell ref="A26:A27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1">
    <pageSetUpPr fitToPage="1"/>
  </sheetPr>
  <dimension ref="A1:K38"/>
  <sheetViews>
    <sheetView showGridLines="0" workbookViewId="0">
      <selection sqref="A1:K38"/>
    </sheetView>
  </sheetViews>
  <sheetFormatPr baseColWidth="10" defaultColWidth="8.7265625" defaultRowHeight="16.5"/>
  <cols>
    <col min="1" max="1" width="1.6328125" style="3" customWidth="1"/>
    <col min="2" max="2" width="11.81640625" style="3" customWidth="1"/>
    <col min="3" max="3" width="9.1796875" style="3" customWidth="1"/>
    <col min="4" max="4" width="10.54296875" style="3" customWidth="1"/>
    <col min="5" max="5" width="9.6328125" style="3" customWidth="1"/>
    <col min="6" max="6" width="11.54296875" style="3" customWidth="1"/>
    <col min="7" max="7" width="10.90625" style="3" customWidth="1"/>
    <col min="8" max="8" width="9.90625" style="3" customWidth="1"/>
    <col min="9" max="10" width="9.6328125" style="3" customWidth="1"/>
    <col min="11" max="11" width="8.453125" style="3" customWidth="1"/>
    <col min="12" max="16384" width="8.7265625" style="3"/>
  </cols>
  <sheetData>
    <row r="1" spans="1:11">
      <c r="A1" s="3" t="s">
        <v>10</v>
      </c>
    </row>
    <row r="2" spans="1:11">
      <c r="A2" s="133" t="s">
        <v>277</v>
      </c>
    </row>
    <row r="4" spans="1:11">
      <c r="A4" s="14"/>
      <c r="B4" s="14"/>
      <c r="C4" s="309" t="s">
        <v>17</v>
      </c>
      <c r="D4" s="310"/>
      <c r="E4" s="310"/>
      <c r="F4" s="310"/>
      <c r="G4" s="310"/>
      <c r="H4" s="310"/>
      <c r="I4" s="310"/>
      <c r="J4" s="134"/>
      <c r="K4" s="135"/>
    </row>
    <row r="5" spans="1:11" ht="86.25" customHeight="1">
      <c r="A5" s="10"/>
      <c r="B5" s="10"/>
      <c r="C5" s="136" t="s">
        <v>223</v>
      </c>
      <c r="D5" s="32" t="s">
        <v>23</v>
      </c>
      <c r="E5" s="32" t="s">
        <v>24</v>
      </c>
      <c r="F5" s="32" t="s">
        <v>276</v>
      </c>
      <c r="G5" s="32" t="s">
        <v>25</v>
      </c>
      <c r="H5" s="32" t="s">
        <v>26</v>
      </c>
      <c r="I5" s="32" t="s">
        <v>27</v>
      </c>
      <c r="J5" s="136" t="s">
        <v>28</v>
      </c>
      <c r="K5" s="137" t="s">
        <v>29</v>
      </c>
    </row>
    <row r="6" spans="1:11" ht="20.100000000000001" customHeight="1">
      <c r="A6" s="133" t="s">
        <v>19</v>
      </c>
    </row>
    <row r="7" spans="1:11">
      <c r="A7" s="138"/>
      <c r="B7" s="139">
        <v>1990</v>
      </c>
      <c r="C7" s="143">
        <v>1470.7614209999999</v>
      </c>
      <c r="D7" s="144">
        <v>505.03989100000001</v>
      </c>
      <c r="E7" s="144">
        <v>965.72152999999992</v>
      </c>
      <c r="F7" s="150">
        <v>181.24077800000001</v>
      </c>
      <c r="G7" s="150">
        <v>17.907934000000001</v>
      </c>
      <c r="H7" s="150">
        <v>1.548265</v>
      </c>
      <c r="I7" s="161">
        <v>800.84042099999988</v>
      </c>
      <c r="J7" s="157">
        <v>292.39999999999998</v>
      </c>
      <c r="K7" s="150">
        <v>2.738852329001368</v>
      </c>
    </row>
    <row r="8" spans="1:11">
      <c r="A8" s="133"/>
      <c r="B8" s="140">
        <v>2000</v>
      </c>
      <c r="C8" s="145">
        <v>1653.661871</v>
      </c>
      <c r="D8" s="146">
        <v>788.27616699999999</v>
      </c>
      <c r="E8" s="146">
        <v>865.38570400000003</v>
      </c>
      <c r="F8" s="151">
        <v>266.11740099999997</v>
      </c>
      <c r="G8" s="151">
        <v>23.858986999999999</v>
      </c>
      <c r="H8" s="151">
        <v>1.980799</v>
      </c>
      <c r="I8" s="162">
        <v>621.14649099999997</v>
      </c>
      <c r="J8" s="158">
        <v>140.012</v>
      </c>
      <c r="K8" s="151">
        <v>4.4363803888238147</v>
      </c>
    </row>
    <row r="9" spans="1:11">
      <c r="A9" s="138"/>
      <c r="B9" s="139">
        <v>2011</v>
      </c>
      <c r="C9" s="143">
        <v>3078.4566260000001</v>
      </c>
      <c r="D9" s="144">
        <v>1645.7750530000001</v>
      </c>
      <c r="E9" s="144">
        <v>1432.6815730000001</v>
      </c>
      <c r="F9" s="150">
        <v>400.68322599999999</v>
      </c>
      <c r="G9" s="150">
        <v>245.839</v>
      </c>
      <c r="H9" s="150">
        <v>10.482994</v>
      </c>
      <c r="I9" s="161">
        <v>1267.3543529999999</v>
      </c>
      <c r="J9" s="157">
        <v>64.8</v>
      </c>
      <c r="K9" s="150">
        <v>19.557937546296298</v>
      </c>
    </row>
    <row r="10" spans="1:11">
      <c r="A10" s="133"/>
      <c r="B10" s="140">
        <v>2012</v>
      </c>
      <c r="C10" s="145">
        <v>3191.799352</v>
      </c>
      <c r="D10" s="146">
        <v>1763.6971279999998</v>
      </c>
      <c r="E10" s="146">
        <v>1428.1022240000002</v>
      </c>
      <c r="F10" s="151">
        <v>421.43500799999998</v>
      </c>
      <c r="G10" s="151">
        <v>227.39700000000002</v>
      </c>
      <c r="H10" s="151">
        <v>9.4576419999999999</v>
      </c>
      <c r="I10" s="162">
        <v>1224.6065739999999</v>
      </c>
      <c r="J10" s="158">
        <v>59.3</v>
      </c>
      <c r="K10" s="151">
        <v>20.651038347386173</v>
      </c>
    </row>
    <row r="11" spans="1:11">
      <c r="A11" s="138"/>
      <c r="B11" s="139">
        <v>2013</v>
      </c>
      <c r="C11" s="143">
        <v>3653.6596410000002</v>
      </c>
      <c r="D11" s="144">
        <v>1958.9661259999998</v>
      </c>
      <c r="E11" s="144">
        <v>1694.6935150000002</v>
      </c>
      <c r="F11" s="150">
        <v>441.92524100000003</v>
      </c>
      <c r="G11" s="150">
        <v>203.16000000000003</v>
      </c>
      <c r="H11" s="150">
        <v>10.099424000000001</v>
      </c>
      <c r="I11" s="161">
        <v>1445.8288499999999</v>
      </c>
      <c r="J11" s="157">
        <v>56.3</v>
      </c>
      <c r="K11" s="150">
        <v>25.680796625222023</v>
      </c>
    </row>
    <row r="12" spans="1:11">
      <c r="A12" s="133"/>
      <c r="B12" s="140">
        <v>2014</v>
      </c>
      <c r="C12" s="145">
        <v>3594.3792090000006</v>
      </c>
      <c r="D12" s="146">
        <v>1875.6820159999997</v>
      </c>
      <c r="E12" s="146">
        <v>1718.697193</v>
      </c>
      <c r="F12" s="151">
        <v>454.13454299999995</v>
      </c>
      <c r="G12" s="151">
        <v>221.28799999999998</v>
      </c>
      <c r="H12" s="151">
        <v>12.266295</v>
      </c>
      <c r="I12" s="162">
        <v>1473.584355</v>
      </c>
      <c r="J12" s="158">
        <v>49.1</v>
      </c>
      <c r="K12" s="151">
        <v>30.011901323828919</v>
      </c>
    </row>
    <row r="13" spans="1:11">
      <c r="A13" s="138"/>
      <c r="B13" s="139">
        <v>2015</v>
      </c>
      <c r="C13" s="143">
        <v>3690.7609729999999</v>
      </c>
      <c r="D13" s="144">
        <v>1868.2073339999999</v>
      </c>
      <c r="E13" s="144">
        <v>1822.553639</v>
      </c>
      <c r="F13" s="150">
        <v>461.663094</v>
      </c>
      <c r="G13" s="150">
        <v>161.02100000000002</v>
      </c>
      <c r="H13" s="150">
        <v>13.765914</v>
      </c>
      <c r="I13" s="161">
        <v>1508.1456310000001</v>
      </c>
      <c r="J13" s="157">
        <v>45.6</v>
      </c>
      <c r="K13" s="150">
        <v>33.073369100877194</v>
      </c>
    </row>
    <row r="14" spans="1:11">
      <c r="A14" s="133"/>
      <c r="B14" s="140">
        <v>2016</v>
      </c>
      <c r="C14" s="145">
        <v>3472.1078630000002</v>
      </c>
      <c r="D14" s="146">
        <v>1708.1803870000001</v>
      </c>
      <c r="E14" s="146">
        <v>1763.9274759999998</v>
      </c>
      <c r="F14" s="151">
        <v>449.62278700000002</v>
      </c>
      <c r="G14" s="151">
        <v>197.76</v>
      </c>
      <c r="H14" s="151">
        <v>15.679846999999999</v>
      </c>
      <c r="I14" s="162">
        <v>1496.3848419999999</v>
      </c>
      <c r="J14" s="158">
        <v>49.2</v>
      </c>
      <c r="K14" s="151">
        <v>30.414326056910568</v>
      </c>
    </row>
    <row r="15" spans="1:11">
      <c r="A15" s="138"/>
      <c r="B15" s="139">
        <v>2017</v>
      </c>
      <c r="C15" s="143">
        <v>3482.08</v>
      </c>
      <c r="D15" s="144">
        <v>1793.74</v>
      </c>
      <c r="E15" s="144">
        <v>1688.34</v>
      </c>
      <c r="F15" s="150">
        <v>452.64</v>
      </c>
      <c r="G15" s="150">
        <v>197.33</v>
      </c>
      <c r="H15" s="150">
        <v>14.19</v>
      </c>
      <c r="I15" s="161">
        <v>1418.84</v>
      </c>
      <c r="J15" s="157">
        <v>55.4</v>
      </c>
      <c r="K15" s="150">
        <v>25.610830324909745</v>
      </c>
    </row>
    <row r="16" spans="1:11">
      <c r="A16" s="133"/>
      <c r="B16" s="140">
        <v>2018</v>
      </c>
      <c r="C16" s="145">
        <v>3648.26</v>
      </c>
      <c r="D16" s="146">
        <v>1939.49</v>
      </c>
      <c r="E16" s="146">
        <v>1708.7688209999999</v>
      </c>
      <c r="F16" s="151">
        <v>461.39501799999999</v>
      </c>
      <c r="G16" s="151">
        <v>186.56399999999999</v>
      </c>
      <c r="H16" s="151">
        <v>17.286937999999999</v>
      </c>
      <c r="I16" s="162">
        <v>1416.6508699999999</v>
      </c>
      <c r="J16" s="158">
        <v>52.3</v>
      </c>
      <c r="K16" s="151">
        <v>27.087014722753345</v>
      </c>
    </row>
    <row r="17" spans="1:11">
      <c r="A17" s="138"/>
      <c r="B17" s="139">
        <v>2019</v>
      </c>
      <c r="C17" s="143">
        <v>3865.3477499999999</v>
      </c>
      <c r="D17" s="144">
        <v>1934.259779</v>
      </c>
      <c r="E17" s="144">
        <v>1931.0879709999999</v>
      </c>
      <c r="F17" s="150">
        <v>472.29113000000001</v>
      </c>
      <c r="G17" s="150">
        <v>190.554</v>
      </c>
      <c r="H17" s="150">
        <v>18.337460999999998</v>
      </c>
      <c r="I17" s="161">
        <v>1631.0133799999999</v>
      </c>
      <c r="J17" s="157">
        <v>49.9</v>
      </c>
      <c r="K17" s="150">
        <f>I17/J17</f>
        <v>32.685638877755508</v>
      </c>
    </row>
    <row r="18" spans="1:11">
      <c r="B18" s="140">
        <v>2020</v>
      </c>
      <c r="C18" s="145">
        <v>3737.5527680000005</v>
      </c>
      <c r="D18" s="146">
        <v>2142.9520000000002</v>
      </c>
      <c r="E18" s="146">
        <v>1594.6010000000001</v>
      </c>
      <c r="F18" s="151">
        <v>477.94099999999997</v>
      </c>
      <c r="G18" s="151">
        <v>182.95</v>
      </c>
      <c r="H18" s="151">
        <v>16.800999999999998</v>
      </c>
      <c r="I18" s="162">
        <v>1282.809</v>
      </c>
      <c r="J18" s="158">
        <v>49.4</v>
      </c>
      <c r="K18" s="151">
        <f>I18/J18</f>
        <v>25.967793522267208</v>
      </c>
    </row>
    <row r="19" spans="1:11" ht="2.1" customHeight="1">
      <c r="A19" s="14"/>
      <c r="B19" s="141"/>
      <c r="C19" s="147"/>
      <c r="D19" s="147"/>
      <c r="E19" s="147"/>
      <c r="F19" s="152"/>
      <c r="G19" s="152"/>
      <c r="H19" s="152"/>
      <c r="I19" s="163"/>
      <c r="J19" s="159"/>
      <c r="K19" s="152"/>
    </row>
    <row r="20" spans="1:11" ht="20.100000000000001" customHeight="1">
      <c r="A20" s="133" t="s">
        <v>20</v>
      </c>
      <c r="C20" s="146"/>
      <c r="D20" s="146"/>
      <c r="E20" s="146"/>
      <c r="F20" s="151"/>
      <c r="G20" s="151"/>
      <c r="H20" s="151"/>
      <c r="I20" s="162"/>
      <c r="J20" s="160"/>
      <c r="K20" s="151"/>
    </row>
    <row r="21" spans="1:11">
      <c r="A21" s="138"/>
      <c r="B21" s="139" t="s">
        <v>21</v>
      </c>
      <c r="C21" s="143">
        <v>12.435766086089098</v>
      </c>
      <c r="D21" s="144">
        <v>56.081961256403005</v>
      </c>
      <c r="E21" s="144">
        <v>-10.389726529137224</v>
      </c>
      <c r="F21" s="150">
        <v>46.830864409553548</v>
      </c>
      <c r="G21" s="150">
        <v>33.231376662433526</v>
      </c>
      <c r="H21" s="150">
        <v>27.936690424442844</v>
      </c>
      <c r="I21" s="161">
        <v>-22.438169364081077</v>
      </c>
      <c r="J21" s="157">
        <f>(J8-J7)*100/J7</f>
        <v>-52.116279069767437</v>
      </c>
      <c r="K21" s="150">
        <f>(K8-K7)*100/K7</f>
        <v>61.979539453351769</v>
      </c>
    </row>
    <row r="22" spans="1:11">
      <c r="A22" s="133"/>
      <c r="B22" s="140" t="s">
        <v>189</v>
      </c>
      <c r="C22" s="145">
        <f>(C18-C8)*100/C8</f>
        <v>126.01674704755892</v>
      </c>
      <c r="D22" s="148">
        <f t="shared" ref="D22:I22" si="0">(D18-D8)*100/D8</f>
        <v>171.85294820666579</v>
      </c>
      <c r="E22" s="148">
        <f t="shared" si="0"/>
        <v>84.264772647550004</v>
      </c>
      <c r="F22" s="153">
        <f t="shared" si="0"/>
        <v>79.597800896905653</v>
      </c>
      <c r="G22" s="153">
        <f t="shared" si="0"/>
        <v>666.79701447509058</v>
      </c>
      <c r="H22" s="153">
        <f t="shared" si="0"/>
        <v>748.19307764190103</v>
      </c>
      <c r="I22" s="164">
        <f t="shared" si="0"/>
        <v>106.52277982521839</v>
      </c>
      <c r="J22" s="158">
        <f>(J18-J8)*100/J8</f>
        <v>-64.717309944861867</v>
      </c>
      <c r="K22" s="151">
        <f>(K18-K8)*100/K8</f>
        <v>485.33739775077902</v>
      </c>
    </row>
    <row r="23" spans="1:11">
      <c r="A23" s="138"/>
      <c r="B23" s="139" t="s">
        <v>190</v>
      </c>
      <c r="C23" s="143">
        <f>(C18-C7)*100/C7</f>
        <v>154.12366102578105</v>
      </c>
      <c r="D23" s="149">
        <f t="shared" ref="D23:I23" si="1">(D18-D7)*100/D7</f>
        <v>324.31341329431746</v>
      </c>
      <c r="E23" s="149">
        <f t="shared" si="1"/>
        <v>65.120166679933121</v>
      </c>
      <c r="F23" s="154">
        <f t="shared" si="1"/>
        <v>163.70500351747546</v>
      </c>
      <c r="G23" s="154">
        <f t="shared" si="1"/>
        <v>921.61421859160282</v>
      </c>
      <c r="H23" s="154">
        <f t="shared" si="1"/>
        <v>985.15015194427292</v>
      </c>
      <c r="I23" s="165">
        <f t="shared" si="1"/>
        <v>60.182848712627624</v>
      </c>
      <c r="J23" s="157">
        <f>(J18-J7)*100/J7</f>
        <v>-83.105335157318734</v>
      </c>
      <c r="K23" s="150">
        <f>(K18-K7)*100/K7</f>
        <v>848.12682112494565</v>
      </c>
    </row>
    <row r="24" spans="1:11" ht="2.1" customHeight="1">
      <c r="A24" s="14"/>
      <c r="B24" s="141"/>
      <c r="C24" s="147"/>
      <c r="D24" s="147"/>
      <c r="E24" s="147"/>
      <c r="F24" s="152"/>
      <c r="G24" s="152"/>
      <c r="H24" s="152"/>
      <c r="I24" s="163"/>
      <c r="J24" s="159"/>
      <c r="K24" s="152"/>
    </row>
    <row r="25" spans="1:11" ht="20.100000000000001" customHeight="1">
      <c r="A25" s="133" t="s">
        <v>16</v>
      </c>
      <c r="C25" s="146"/>
      <c r="D25" s="146"/>
      <c r="E25" s="146"/>
      <c r="F25" s="151"/>
      <c r="G25" s="151"/>
      <c r="H25" s="151"/>
      <c r="I25" s="162"/>
      <c r="J25" s="160"/>
      <c r="K25" s="151"/>
    </row>
    <row r="26" spans="1:11">
      <c r="A26" s="138"/>
      <c r="B26" s="139">
        <v>1990</v>
      </c>
      <c r="C26" s="143">
        <v>6.0469979455711034</v>
      </c>
      <c r="D26" s="144">
        <v>5.7166222100372259</v>
      </c>
      <c r="E26" s="144">
        <v>6.2354541811873627</v>
      </c>
      <c r="F26" s="150">
        <v>9.2341921280995525</v>
      </c>
      <c r="G26" s="150">
        <v>6.1288315236441875</v>
      </c>
      <c r="H26" s="150">
        <v>3.0142214381899963</v>
      </c>
      <c r="I26" s="161">
        <v>5.817650603041594</v>
      </c>
      <c r="J26" s="157">
        <v>21.017826336975268</v>
      </c>
      <c r="K26" s="150">
        <v>27.679601638000907</v>
      </c>
    </row>
    <row r="27" spans="1:11">
      <c r="B27" s="140">
        <v>2000</v>
      </c>
      <c r="C27" s="145">
        <v>4.5577853271924225</v>
      </c>
      <c r="D27" s="146">
        <v>5.852812984237838</v>
      </c>
      <c r="E27" s="146">
        <v>3.7932544179607728</v>
      </c>
      <c r="F27" s="151">
        <v>9.5832858041601181</v>
      </c>
      <c r="G27" s="151">
        <v>1.8260500233432062</v>
      </c>
      <c r="H27" s="151">
        <v>1.457949242613829</v>
      </c>
      <c r="I27" s="162">
        <v>2.9288803616696106</v>
      </c>
      <c r="J27" s="158">
        <v>14.515032137673648</v>
      </c>
      <c r="K27" s="151">
        <v>20.178256127092723</v>
      </c>
    </row>
    <row r="28" spans="1:11">
      <c r="A28" s="138"/>
      <c r="B28" s="139">
        <v>2011</v>
      </c>
      <c r="C28" s="143">
        <v>7.5150828282419075</v>
      </c>
      <c r="D28" s="144">
        <v>8.3479116038645902</v>
      </c>
      <c r="E28" s="144">
        <v>6.7423809508114161</v>
      </c>
      <c r="F28" s="150">
        <v>8.5254309220622897</v>
      </c>
      <c r="G28" s="150">
        <v>4.142718905676384</v>
      </c>
      <c r="H28" s="150">
        <v>3.9695495426591996</v>
      </c>
      <c r="I28" s="161">
        <v>5.7038714626093343</v>
      </c>
      <c r="J28" s="157">
        <v>8.9268494282959097</v>
      </c>
      <c r="K28" s="150">
        <v>63.895683560310438</v>
      </c>
    </row>
    <row r="29" spans="1:11">
      <c r="B29" s="140">
        <v>2016</v>
      </c>
      <c r="C29" s="145">
        <v>7.1720547292552155</v>
      </c>
      <c r="D29" s="146">
        <v>8.1019510104847541</v>
      </c>
      <c r="E29" s="146">
        <v>6.4546405350368472</v>
      </c>
      <c r="F29" s="151">
        <v>8.7517557074292007</v>
      </c>
      <c r="G29" s="151">
        <v>3.3865605809211772</v>
      </c>
      <c r="H29" s="151">
        <v>4.0906325957892538</v>
      </c>
      <c r="I29" s="162">
        <v>5.4125107983727077</v>
      </c>
      <c r="J29" s="158">
        <v>6.666666666666667</v>
      </c>
      <c r="K29" s="151">
        <v>81.187661975590601</v>
      </c>
    </row>
    <row r="30" spans="1:11">
      <c r="A30" s="138"/>
      <c r="B30" s="139">
        <v>2019</v>
      </c>
      <c r="C30" s="143">
        <f>C17*100/51788.965</f>
        <v>7.4636512816967864</v>
      </c>
      <c r="D30" s="144">
        <f>D17*100/23844.503</f>
        <v>8.1119735605309113</v>
      </c>
      <c r="E30" s="144">
        <f>E17*100/27944.462</f>
        <v>6.9104496304133534</v>
      </c>
      <c r="F30" s="150">
        <f>F18*100/5462.515</f>
        <v>8.7494679648476925</v>
      </c>
      <c r="G30" s="150">
        <f>G18*100/5914.879</f>
        <v>3.0930472119548007</v>
      </c>
      <c r="H30" s="150">
        <f>H18*100/450.474</f>
        <v>3.7296270150996507</v>
      </c>
      <c r="I30" s="161">
        <f>I17*100/27946.352</f>
        <v>5.8362300023988816</v>
      </c>
      <c r="J30" s="157">
        <f>J17*100/758.1</f>
        <v>6.5822450864002109</v>
      </c>
      <c r="K30" s="150">
        <f>K17*100/(27946.352/758.1)</f>
        <v>88.666251799971789</v>
      </c>
    </row>
    <row r="31" spans="1:11">
      <c r="B31" s="140">
        <v>2020</v>
      </c>
      <c r="C31" s="145">
        <f>C18*100/51787.221</f>
        <v>7.2171332924004563</v>
      </c>
      <c r="D31" s="146">
        <f>D18*100/23945.828</f>
        <v>8.9491664268197368</v>
      </c>
      <c r="E31" s="146">
        <f>E18*100/27841.393</f>
        <v>5.7274468989392879</v>
      </c>
      <c r="F31" s="151">
        <f>F18*100/5530.73</f>
        <v>8.6415536466253098</v>
      </c>
      <c r="G31" s="151">
        <f>G18*100/5703.864</f>
        <v>3.2074747925266101</v>
      </c>
      <c r="H31" s="151">
        <f>H18*100/449.43</f>
        <v>3.7382907238057093</v>
      </c>
      <c r="I31" s="162">
        <f>I18*100/27565.096</f>
        <v>4.6537439956675639</v>
      </c>
      <c r="J31" s="158">
        <f>J18*100/723.9</f>
        <v>6.8241469816272966</v>
      </c>
      <c r="K31" s="151">
        <f>K18*100/(27565.096/723.9)</f>
        <v>68.195248551897762</v>
      </c>
    </row>
    <row r="32" spans="1:11" ht="2.1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55"/>
    </row>
    <row r="33" spans="1:11" ht="3.95" customHeight="1">
      <c r="K33" s="156"/>
    </row>
    <row r="34" spans="1:11">
      <c r="A34" s="3" t="s">
        <v>22</v>
      </c>
    </row>
    <row r="35" spans="1:11" ht="3.95" customHeight="1"/>
    <row r="36" spans="1:11" ht="12.75" customHeight="1">
      <c r="A36" s="3" t="s">
        <v>18</v>
      </c>
    </row>
    <row r="37" spans="1:11" ht="31.5" customHeight="1">
      <c r="A37" s="332" t="s">
        <v>275</v>
      </c>
      <c r="B37" s="333"/>
      <c r="C37" s="333"/>
      <c r="D37" s="333"/>
      <c r="E37" s="333"/>
      <c r="F37" s="333"/>
      <c r="G37" s="333"/>
      <c r="H37" s="333"/>
      <c r="I37" s="333"/>
      <c r="J37" s="333"/>
      <c r="K37" s="333"/>
    </row>
    <row r="38" spans="1:11">
      <c r="A38" s="142" t="s">
        <v>36</v>
      </c>
    </row>
  </sheetData>
  <mergeCells count="2">
    <mergeCell ref="C4:I4"/>
    <mergeCell ref="A37:K37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2">
    <pageSetUpPr fitToPage="1"/>
  </sheetPr>
  <dimension ref="A1:L29"/>
  <sheetViews>
    <sheetView showGridLines="0" zoomScaleNormal="100" workbookViewId="0">
      <selection sqref="A1:L29"/>
    </sheetView>
  </sheetViews>
  <sheetFormatPr baseColWidth="10" defaultColWidth="8.7265625" defaultRowHeight="16.5"/>
  <cols>
    <col min="1" max="1" width="2.453125" style="3" customWidth="1"/>
    <col min="2" max="2" width="24" style="3" customWidth="1"/>
    <col min="3" max="8" width="9.6328125" style="3" customWidth="1"/>
    <col min="9" max="9" width="7" style="3" customWidth="1"/>
    <col min="10" max="10" width="1.7265625" style="3" customWidth="1"/>
    <col min="11" max="11" width="8.08984375" style="3" customWidth="1"/>
    <col min="12" max="12" width="1.453125" style="3" customWidth="1"/>
    <col min="13" max="16384" width="8.7265625" style="3"/>
  </cols>
  <sheetData>
    <row r="1" spans="1:12">
      <c r="A1" s="3" t="s">
        <v>11</v>
      </c>
    </row>
    <row r="2" spans="1:12">
      <c r="A2" s="133" t="s">
        <v>174</v>
      </c>
    </row>
    <row r="3" spans="1:12" ht="14.25" customHeight="1">
      <c r="A3" s="3" t="s">
        <v>30</v>
      </c>
    </row>
    <row r="4" spans="1:12" ht="14.25" customHeight="1"/>
    <row r="5" spans="1:12">
      <c r="A5" s="14"/>
      <c r="B5" s="14"/>
      <c r="C5" s="10">
        <v>2015</v>
      </c>
      <c r="D5" s="10">
        <v>2016</v>
      </c>
      <c r="E5" s="10">
        <v>2017</v>
      </c>
      <c r="F5" s="10">
        <v>2018</v>
      </c>
      <c r="G5" s="10">
        <v>2019</v>
      </c>
      <c r="H5" s="10">
        <v>2020</v>
      </c>
      <c r="I5" s="334" t="s">
        <v>282</v>
      </c>
      <c r="J5" s="334"/>
      <c r="K5" s="334" t="s">
        <v>281</v>
      </c>
      <c r="L5" s="334"/>
    </row>
    <row r="6" spans="1:12">
      <c r="A6" s="133" t="s">
        <v>2</v>
      </c>
    </row>
    <row r="7" spans="1:12" ht="18">
      <c r="A7" s="138"/>
      <c r="B7" s="138" t="s">
        <v>278</v>
      </c>
      <c r="C7" s="178">
        <v>6.659006843283322</v>
      </c>
      <c r="D7" s="178">
        <v>-0.48126164590928372</v>
      </c>
      <c r="E7" s="178">
        <v>-7.1323659649392575</v>
      </c>
      <c r="F7" s="178">
        <v>-1.8232941242152503</v>
      </c>
      <c r="G7" s="178">
        <v>14.444970199607187</v>
      </c>
      <c r="H7" s="179">
        <v>-21.112296024140324</v>
      </c>
      <c r="I7" s="167">
        <v>-5.3</v>
      </c>
      <c r="J7" s="168" t="s">
        <v>31</v>
      </c>
      <c r="K7" s="167">
        <v>1.8</v>
      </c>
      <c r="L7" s="168" t="s">
        <v>31</v>
      </c>
    </row>
    <row r="8" spans="1:12">
      <c r="B8" s="3" t="s">
        <v>32</v>
      </c>
      <c r="C8" s="180">
        <v>-7.1283095723014256</v>
      </c>
      <c r="D8" s="180">
        <v>7.9</v>
      </c>
      <c r="E8" s="180">
        <v>12.601626016259999</v>
      </c>
      <c r="F8" s="181">
        <v>-5.5956678700361033</v>
      </c>
      <c r="G8" s="181">
        <v>-4.5999999999999996</v>
      </c>
      <c r="H8" s="181">
        <v>-1.0020040080160322</v>
      </c>
      <c r="I8" s="170">
        <v>-4.6558704453441235</v>
      </c>
      <c r="J8" s="170"/>
      <c r="K8" s="170">
        <v>0.63694267515923553</v>
      </c>
      <c r="L8" s="171"/>
    </row>
    <row r="9" spans="1:12">
      <c r="A9" s="138"/>
      <c r="B9" s="138" t="s">
        <v>33</v>
      </c>
      <c r="C9" s="178">
        <v>14.84555342116689</v>
      </c>
      <c r="D9" s="178">
        <v>-7.7849860982391021</v>
      </c>
      <c r="E9" s="178">
        <v>-17.495559502664278</v>
      </c>
      <c r="F9" s="178">
        <v>4.0254237288135641</v>
      </c>
      <c r="G9" s="178">
        <v>19.916142557652009</v>
      </c>
      <c r="H9" s="179">
        <v>-20.303030303030297</v>
      </c>
      <c r="I9" s="167">
        <v>-0.63</v>
      </c>
      <c r="J9" s="168" t="s">
        <v>31</v>
      </c>
      <c r="K9" s="167">
        <v>1.19</v>
      </c>
      <c r="L9" s="168" t="s">
        <v>31</v>
      </c>
    </row>
    <row r="10" spans="1:12" ht="2.1" customHeight="1">
      <c r="A10" s="14"/>
      <c r="B10" s="14"/>
      <c r="C10" s="182"/>
      <c r="D10" s="182"/>
      <c r="E10" s="182"/>
      <c r="F10" s="182"/>
      <c r="G10" s="182"/>
      <c r="H10" s="182"/>
      <c r="I10" s="172"/>
      <c r="J10" s="172"/>
      <c r="K10" s="172"/>
      <c r="L10" s="172"/>
    </row>
    <row r="11" spans="1:12">
      <c r="A11" s="133" t="s">
        <v>3</v>
      </c>
      <c r="C11" s="180"/>
      <c r="D11" s="180"/>
      <c r="E11" s="180"/>
      <c r="F11" s="180"/>
      <c r="G11" s="180"/>
      <c r="H11" s="180"/>
      <c r="I11" s="171"/>
      <c r="J11" s="171"/>
      <c r="K11" s="171"/>
      <c r="L11" s="171"/>
    </row>
    <row r="12" spans="1:12" ht="18">
      <c r="A12" s="138"/>
      <c r="B12" s="138" t="s">
        <v>278</v>
      </c>
      <c r="C12" s="178">
        <v>4.2457600129999999</v>
      </c>
      <c r="D12" s="178">
        <v>12.53634443</v>
      </c>
      <c r="E12" s="178">
        <v>4.5</v>
      </c>
      <c r="F12" s="178">
        <v>-2.5750428734147057</v>
      </c>
      <c r="G12" s="178">
        <v>-4.0668675893921327</v>
      </c>
      <c r="H12" s="178">
        <v>-2.6933779377685347</v>
      </c>
      <c r="I12" s="166">
        <v>4.5850415867353727</v>
      </c>
      <c r="J12" s="173"/>
      <c r="K12" s="166">
        <v>-9.3000000000000007</v>
      </c>
      <c r="L12" s="173"/>
    </row>
    <row r="13" spans="1:12">
      <c r="B13" s="3" t="s">
        <v>34</v>
      </c>
      <c r="C13" s="180">
        <v>-0.67172286999999997</v>
      </c>
      <c r="D13" s="180">
        <v>1.31504949</v>
      </c>
      <c r="E13" s="180">
        <v>5.1185915</v>
      </c>
      <c r="F13" s="180">
        <v>-0.76599358144347574</v>
      </c>
      <c r="G13" s="180">
        <v>-1.2239462594423505</v>
      </c>
      <c r="H13" s="180">
        <v>-0.38799684893558017</v>
      </c>
      <c r="I13" s="169">
        <v>6.3388032320774226</v>
      </c>
      <c r="J13" s="171"/>
      <c r="K13" s="169">
        <v>-6.1</v>
      </c>
      <c r="L13" s="171"/>
    </row>
    <row r="14" spans="1:12">
      <c r="A14" s="138"/>
      <c r="B14" s="138" t="s">
        <v>35</v>
      </c>
      <c r="C14" s="178">
        <v>4.9507381300000004</v>
      </c>
      <c r="D14" s="178">
        <v>11.0756447</v>
      </c>
      <c r="E14" s="178">
        <v>-0.45249466999999999</v>
      </c>
      <c r="F14" s="178">
        <v>-1.6882207369979076</v>
      </c>
      <c r="G14" s="178">
        <v>-3.370539138059816</v>
      </c>
      <c r="H14" s="178">
        <v>-2.3143607355599363</v>
      </c>
      <c r="I14" s="166">
        <v>-1.6492207849232217</v>
      </c>
      <c r="J14" s="173"/>
      <c r="K14" s="166">
        <v>-3.5</v>
      </c>
      <c r="L14" s="173"/>
    </row>
    <row r="15" spans="1:12" ht="2.1" customHeight="1">
      <c r="A15" s="14"/>
      <c r="B15" s="14"/>
      <c r="C15" s="182"/>
      <c r="D15" s="182"/>
      <c r="E15" s="182"/>
      <c r="F15" s="182"/>
      <c r="G15" s="182"/>
      <c r="H15" s="182"/>
      <c r="I15" s="172"/>
      <c r="J15" s="172"/>
      <c r="K15" s="172"/>
      <c r="L15" s="172"/>
    </row>
    <row r="16" spans="1:12">
      <c r="A16" s="133" t="s">
        <v>175</v>
      </c>
      <c r="C16" s="180"/>
      <c r="D16" s="180"/>
      <c r="E16" s="180"/>
      <c r="F16" s="180"/>
      <c r="G16" s="180"/>
      <c r="H16" s="180"/>
      <c r="I16" s="171"/>
      <c r="J16" s="171"/>
      <c r="K16" s="171"/>
      <c r="L16" s="171"/>
    </row>
    <row r="17" spans="1:12" ht="18">
      <c r="A17" s="138"/>
      <c r="B17" s="138" t="s">
        <v>278</v>
      </c>
      <c r="C17" s="178">
        <v>-3.9000000000000057</v>
      </c>
      <c r="D17" s="178">
        <v>1.2800000000000011</v>
      </c>
      <c r="E17" s="178">
        <v>10.120458135860979</v>
      </c>
      <c r="F17" s="178">
        <v>-3.5326817896530063</v>
      </c>
      <c r="G17" s="178">
        <v>1.5986615856492228</v>
      </c>
      <c r="H17" s="179">
        <v>-4.2722532247735812</v>
      </c>
      <c r="I17" s="167">
        <v>2.9816513761467935</v>
      </c>
      <c r="J17" s="174"/>
      <c r="K17" s="167">
        <v>11.163697104677059</v>
      </c>
      <c r="L17" s="174"/>
    </row>
    <row r="18" spans="1:12">
      <c r="B18" s="3" t="s">
        <v>34</v>
      </c>
      <c r="C18" s="180">
        <v>-1.7586878376608741</v>
      </c>
      <c r="D18" s="180">
        <v>2.1400000000000006</v>
      </c>
      <c r="E18" s="180">
        <v>-4.1511650675543326</v>
      </c>
      <c r="F18" s="180">
        <v>-1.0418794688457713</v>
      </c>
      <c r="G18" s="180">
        <v>-2.0231213872832305</v>
      </c>
      <c r="H18" s="180">
        <v>-9.6713021491782616</v>
      </c>
      <c r="I18" s="175">
        <v>-0.89806391415908104</v>
      </c>
      <c r="J18" s="171"/>
      <c r="K18" s="175">
        <v>-1.8947863951983046</v>
      </c>
      <c r="L18" s="171"/>
    </row>
    <row r="19" spans="1:12">
      <c r="A19" s="138"/>
      <c r="B19" s="138" t="s">
        <v>35</v>
      </c>
      <c r="C19" s="178">
        <v>-2.1800000000000068</v>
      </c>
      <c r="D19" s="178">
        <v>-0.80907571893411978</v>
      </c>
      <c r="E19" s="178">
        <v>14.753080946892455</v>
      </c>
      <c r="F19" s="178">
        <v>-2.4105694197635823</v>
      </c>
      <c r="G19" s="178">
        <v>3.5864143773256281</v>
      </c>
      <c r="H19" s="179">
        <v>6.0608376643228423</v>
      </c>
      <c r="I19" s="176">
        <v>3.9489803271600414</v>
      </c>
      <c r="J19" s="174"/>
      <c r="K19" s="176">
        <v>12.1</v>
      </c>
      <c r="L19" s="174"/>
    </row>
    <row r="20" spans="1:12" ht="2.1" customHeight="1">
      <c r="A20" s="14"/>
      <c r="B20" s="14"/>
      <c r="C20" s="177"/>
      <c r="D20" s="177"/>
      <c r="E20" s="177"/>
      <c r="F20" s="177"/>
      <c r="G20" s="177"/>
      <c r="H20" s="177"/>
      <c r="I20" s="177"/>
      <c r="J20" s="177"/>
      <c r="K20" s="177"/>
      <c r="L20" s="177"/>
    </row>
    <row r="21" spans="1:12" ht="3.95" customHeight="1"/>
    <row r="22" spans="1:12" ht="18">
      <c r="A22" s="3" t="s">
        <v>283</v>
      </c>
    </row>
    <row r="23" spans="1:12">
      <c r="A23" s="3" t="s">
        <v>249</v>
      </c>
    </row>
    <row r="24" spans="1:12">
      <c r="A24" s="3" t="s">
        <v>248</v>
      </c>
    </row>
    <row r="25" spans="1:12" ht="3.95" customHeight="1"/>
    <row r="26" spans="1:12">
      <c r="A26" s="3" t="s">
        <v>18</v>
      </c>
    </row>
    <row r="27" spans="1:12">
      <c r="A27" s="3" t="s">
        <v>279</v>
      </c>
    </row>
    <row r="28" spans="1:12">
      <c r="A28" s="3" t="s">
        <v>280</v>
      </c>
    </row>
    <row r="29" spans="1:12">
      <c r="A29" s="3" t="s">
        <v>36</v>
      </c>
    </row>
  </sheetData>
  <mergeCells count="2">
    <mergeCell ref="I5:J5"/>
    <mergeCell ref="K5:L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3"/>
  <dimension ref="A1:C15"/>
  <sheetViews>
    <sheetView showGridLines="0" workbookViewId="0">
      <selection sqref="A1:C15"/>
    </sheetView>
  </sheetViews>
  <sheetFormatPr baseColWidth="10" defaultColWidth="8.7265625" defaultRowHeight="16.5"/>
  <cols>
    <col min="1" max="1" width="26.54296875" style="3" customWidth="1"/>
    <col min="2" max="2" width="16.7265625" style="3" customWidth="1"/>
    <col min="3" max="3" width="17.08984375" style="3" customWidth="1"/>
    <col min="4" max="16384" width="8.7265625" style="3"/>
  </cols>
  <sheetData>
    <row r="1" spans="1:3">
      <c r="A1" s="3" t="s">
        <v>187</v>
      </c>
    </row>
    <row r="2" spans="1:3">
      <c r="A2" s="133" t="s">
        <v>43</v>
      </c>
    </row>
    <row r="3" spans="1:3">
      <c r="A3" s="3" t="s">
        <v>44</v>
      </c>
    </row>
    <row r="4" spans="1:3">
      <c r="A4" s="3" t="s">
        <v>37</v>
      </c>
    </row>
    <row r="6" spans="1:3">
      <c r="A6" s="10"/>
      <c r="B6" s="10" t="s">
        <v>2</v>
      </c>
      <c r="C6" s="10" t="s">
        <v>3</v>
      </c>
    </row>
    <row r="7" spans="1:3">
      <c r="A7" s="184">
        <v>2020</v>
      </c>
      <c r="B7" s="186">
        <v>-8.6999999999999993</v>
      </c>
      <c r="C7" s="186">
        <v>4.4648954505544598</v>
      </c>
    </row>
    <row r="8" spans="1:3">
      <c r="A8" s="185">
        <v>2021</v>
      </c>
      <c r="B8" s="187">
        <v>0.7</v>
      </c>
      <c r="C8" s="187">
        <v>2.0686028903379006</v>
      </c>
    </row>
    <row r="9" spans="1:3">
      <c r="A9" s="184">
        <v>2022</v>
      </c>
      <c r="B9" s="186">
        <v>0.6</v>
      </c>
      <c r="C9" s="188">
        <v>-1.0610094459978847</v>
      </c>
    </row>
    <row r="10" spans="1:3">
      <c r="A10" s="12" t="s">
        <v>38</v>
      </c>
      <c r="B10" s="186">
        <v>1.3</v>
      </c>
      <c r="C10" s="188">
        <v>4.1842693336698877</v>
      </c>
    </row>
    <row r="11" spans="1:3">
      <c r="A11" s="12" t="s">
        <v>39</v>
      </c>
      <c r="B11" s="186">
        <v>1.6</v>
      </c>
      <c r="C11" s="188">
        <v>-3.1317851465634372</v>
      </c>
    </row>
    <row r="12" spans="1:3">
      <c r="A12" s="12" t="s">
        <v>40</v>
      </c>
      <c r="B12" s="186">
        <v>-1</v>
      </c>
      <c r="C12" s="188">
        <v>-2.7349460522737568</v>
      </c>
    </row>
    <row r="13" spans="1:3">
      <c r="A13" s="12" t="s">
        <v>41</v>
      </c>
      <c r="B13" s="186">
        <v>0.4</v>
      </c>
      <c r="C13" s="188">
        <v>-2.4326735491608242</v>
      </c>
    </row>
    <row r="14" spans="1:3" ht="3.95" customHeight="1"/>
    <row r="15" spans="1:3">
      <c r="A15" s="3" t="s">
        <v>42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4">
    <pageSetUpPr fitToPage="1"/>
  </sheetPr>
  <dimension ref="A1:J37"/>
  <sheetViews>
    <sheetView showGridLines="0" topLeftCell="A22" workbookViewId="0">
      <selection sqref="A1:H37"/>
    </sheetView>
  </sheetViews>
  <sheetFormatPr baseColWidth="10" defaultColWidth="8.7265625" defaultRowHeight="16.5"/>
  <cols>
    <col min="1" max="1" width="20.26953125" style="4" customWidth="1"/>
    <col min="2" max="6" width="10.6328125" style="4" customWidth="1"/>
    <col min="7" max="8" width="14.6328125" style="4" customWidth="1"/>
    <col min="9" max="16384" width="8.7265625" style="4"/>
  </cols>
  <sheetData>
    <row r="1" spans="1:10">
      <c r="A1" s="4" t="s">
        <v>12</v>
      </c>
    </row>
    <row r="2" spans="1:10">
      <c r="A2" s="189" t="s">
        <v>284</v>
      </c>
    </row>
    <row r="3" spans="1:10" ht="9" customHeight="1"/>
    <row r="4" spans="1:10">
      <c r="A4" s="14"/>
      <c r="B4" s="335" t="s">
        <v>45</v>
      </c>
      <c r="C4" s="336"/>
      <c r="D4" s="336"/>
      <c r="E4" s="336"/>
      <c r="F4" s="336"/>
      <c r="G4" s="120" t="s">
        <v>56</v>
      </c>
      <c r="H4" s="120" t="s">
        <v>59</v>
      </c>
    </row>
    <row r="5" spans="1:10">
      <c r="A5" s="14"/>
      <c r="B5" s="331" t="s">
        <v>2</v>
      </c>
      <c r="C5" s="310"/>
      <c r="D5" s="310"/>
      <c r="E5" s="310"/>
      <c r="F5" s="216" t="s">
        <v>3</v>
      </c>
      <c r="G5" s="120" t="s">
        <v>58</v>
      </c>
      <c r="H5" s="120" t="s">
        <v>60</v>
      </c>
    </row>
    <row r="6" spans="1:10">
      <c r="A6" s="14"/>
      <c r="B6" s="120">
        <v>1990</v>
      </c>
      <c r="C6" s="16">
        <v>2018</v>
      </c>
      <c r="D6" s="16">
        <v>2019</v>
      </c>
      <c r="E6" s="16">
        <v>2020</v>
      </c>
      <c r="F6" s="190">
        <v>2020</v>
      </c>
      <c r="G6" s="120" t="s">
        <v>57</v>
      </c>
      <c r="H6" s="120" t="s">
        <v>61</v>
      </c>
    </row>
    <row r="7" spans="1:10" ht="18" customHeight="1">
      <c r="A7" s="189" t="s">
        <v>46</v>
      </c>
      <c r="B7" s="196">
        <v>35.18864556703835</v>
      </c>
      <c r="C7" s="197">
        <v>38.620627586849622</v>
      </c>
      <c r="D7" s="197">
        <v>40.0806055030883</v>
      </c>
      <c r="E7" s="197">
        <v>35.057532009137368</v>
      </c>
      <c r="F7" s="198">
        <v>58.865100849125383</v>
      </c>
      <c r="G7" s="211">
        <f>E7/F7</f>
        <v>0.59555715531672704</v>
      </c>
      <c r="H7" s="211">
        <v>4.2982154008848612</v>
      </c>
    </row>
    <row r="8" spans="1:10" ht="18" customHeight="1">
      <c r="A8" s="4" t="s">
        <v>47</v>
      </c>
      <c r="B8" s="199">
        <v>1.2088084715800924</v>
      </c>
      <c r="C8" s="200">
        <v>0.76422955052545605</v>
      </c>
      <c r="D8" s="200">
        <v>0.65570804075778166</v>
      </c>
      <c r="E8" s="200">
        <v>0.76136522388758943</v>
      </c>
      <c r="F8" s="201">
        <v>9.2304837632237824</v>
      </c>
      <c r="G8" s="212">
        <f>E8/F8</f>
        <v>8.2483783452502346E-2</v>
      </c>
      <c r="H8" s="212">
        <v>0.59529646347754983</v>
      </c>
    </row>
    <row r="9" spans="1:10" ht="18" customHeight="1">
      <c r="A9" s="4" t="s">
        <v>285</v>
      </c>
      <c r="B9" s="199">
        <v>0.96019853141147671</v>
      </c>
      <c r="C9" s="200">
        <v>0.36821238069655132</v>
      </c>
      <c r="D9" s="200">
        <v>0.18809699593005572</v>
      </c>
      <c r="E9" s="200">
        <v>0.22694446143000918</v>
      </c>
      <c r="F9" s="201">
        <v>1.7749300004498527</v>
      </c>
      <c r="G9" s="212">
        <f t="shared" ref="G9:G15" si="0">E9/F9</f>
        <v>0.12786107698472082</v>
      </c>
      <c r="H9" s="212">
        <v>0.92279044146011346</v>
      </c>
    </row>
    <row r="10" spans="1:10" ht="18" customHeight="1">
      <c r="A10" s="4" t="s">
        <v>48</v>
      </c>
      <c r="B10" s="199">
        <v>8.4962080500407939</v>
      </c>
      <c r="C10" s="200">
        <v>8.3396825061810294</v>
      </c>
      <c r="D10" s="200">
        <v>8.6866565369183153</v>
      </c>
      <c r="E10" s="200">
        <v>9.2166396940084603</v>
      </c>
      <c r="F10" s="201">
        <v>3.7339683403198141</v>
      </c>
      <c r="G10" s="212">
        <f t="shared" si="0"/>
        <v>2.4683229352766971</v>
      </c>
      <c r="H10" s="212">
        <v>17.814215747473277</v>
      </c>
      <c r="J10" s="5"/>
    </row>
    <row r="11" spans="1:10" ht="18" customHeight="1">
      <c r="A11" s="4" t="s">
        <v>286</v>
      </c>
      <c r="B11" s="199">
        <v>7.2229451998912158</v>
      </c>
      <c r="C11" s="200">
        <v>12.766313365823706</v>
      </c>
      <c r="D11" s="200">
        <v>13.726508488143145</v>
      </c>
      <c r="E11" s="200">
        <v>10.194608843044968</v>
      </c>
      <c r="F11" s="201">
        <v>19.150843253326563</v>
      </c>
      <c r="G11" s="212">
        <f t="shared" si="0"/>
        <v>0.53233211238748623</v>
      </c>
      <c r="H11" s="212">
        <v>3.8419118357038737</v>
      </c>
    </row>
    <row r="12" spans="1:10" ht="18" customHeight="1">
      <c r="A12" s="4" t="s">
        <v>49</v>
      </c>
      <c r="B12" s="199">
        <v>10.53166236062007</v>
      </c>
      <c r="C12" s="200">
        <v>4.5135131542159828</v>
      </c>
      <c r="D12" s="200">
        <v>5.7354510211920786</v>
      </c>
      <c r="E12" s="200">
        <v>3.3360830666404651</v>
      </c>
      <c r="F12" s="201">
        <v>1.0093781154453587</v>
      </c>
      <c r="G12" s="212">
        <f t="shared" si="0"/>
        <v>3.3050875738161962</v>
      </c>
      <c r="H12" s="212">
        <v>23.853257717128738</v>
      </c>
    </row>
    <row r="13" spans="1:10" ht="18" customHeight="1">
      <c r="A13" s="4" t="s">
        <v>287</v>
      </c>
      <c r="B13" s="199">
        <v>3.6284221512102257</v>
      </c>
      <c r="C13" s="200">
        <v>10.556041181275457</v>
      </c>
      <c r="D13" s="200">
        <v>10.826172470510578</v>
      </c>
      <c r="E13" s="200">
        <v>11.099094079733401</v>
      </c>
      <c r="F13" s="201">
        <v>18.404693038986732</v>
      </c>
      <c r="G13" s="212">
        <f t="shared" si="0"/>
        <v>0.60305782097110494</v>
      </c>
      <c r="H13" s="212">
        <v>4.3523487050433678</v>
      </c>
    </row>
    <row r="14" spans="1:10" ht="18" customHeight="1">
      <c r="A14" s="4" t="s">
        <v>50</v>
      </c>
      <c r="B14" s="199">
        <v>2.8082892303508298</v>
      </c>
      <c r="C14" s="200">
        <v>1.3029683465542479</v>
      </c>
      <c r="D14" s="200">
        <v>0.25245268035715546</v>
      </c>
      <c r="E14" s="200">
        <v>0.2103470502760805</v>
      </c>
      <c r="F14" s="201">
        <v>2.3736482170533635</v>
      </c>
      <c r="G14" s="212">
        <f t="shared" si="0"/>
        <v>8.8617617709672414E-2</v>
      </c>
      <c r="H14" s="212">
        <v>0.6395651631905479</v>
      </c>
    </row>
    <row r="15" spans="1:10" ht="18" customHeight="1">
      <c r="A15" s="4" t="s">
        <v>51</v>
      </c>
      <c r="B15" s="199">
        <v>0.33211157193364155</v>
      </c>
      <c r="C15" s="200">
        <v>9.5936144901953256E-3</v>
      </c>
      <c r="D15" s="200">
        <v>9.5592692792000403E-3</v>
      </c>
      <c r="E15" s="200">
        <v>1.2449590116395647E-2</v>
      </c>
      <c r="F15" s="201">
        <v>3.1871561203199175</v>
      </c>
      <c r="G15" s="212">
        <f t="shared" si="0"/>
        <v>3.9061751751106543E-3</v>
      </c>
      <c r="H15" s="212">
        <v>2.8191387084058724E-2</v>
      </c>
    </row>
    <row r="16" spans="1:10" ht="18" customHeight="1">
      <c r="A16" s="191" t="s">
        <v>52</v>
      </c>
      <c r="B16" s="202">
        <v>61.751388903997821</v>
      </c>
      <c r="C16" s="203">
        <v>58.189586432984491</v>
      </c>
      <c r="D16" s="203">
        <v>56.775547840423933</v>
      </c>
      <c r="E16" s="203">
        <v>61.87211422937159</v>
      </c>
      <c r="F16" s="204">
        <v>38.102730840226243</v>
      </c>
      <c r="G16" s="213">
        <f>E16/F16</f>
        <v>1.6238236174938743</v>
      </c>
      <c r="H16" s="213">
        <v>11.719351566384764</v>
      </c>
    </row>
    <row r="17" spans="1:8" ht="18" customHeight="1">
      <c r="A17" s="191" t="s">
        <v>62</v>
      </c>
      <c r="B17" s="202">
        <v>32.329947579548545</v>
      </c>
      <c r="C17" s="203">
        <v>32.669314577360161</v>
      </c>
      <c r="D17" s="203">
        <v>32.090535605755001</v>
      </c>
      <c r="E17" s="203">
        <v>34.506375750518892</v>
      </c>
      <c r="F17" s="204">
        <v>29.319391864890314</v>
      </c>
      <c r="G17" s="213">
        <f>E17/F17</f>
        <v>1.1769130788773263</v>
      </c>
      <c r="H17" s="213">
        <v>8.4939386186084569</v>
      </c>
    </row>
    <row r="18" spans="1:8" ht="18" customHeight="1">
      <c r="A18" s="138" t="s">
        <v>63</v>
      </c>
      <c r="B18" s="205">
        <v>16.255048001087843</v>
      </c>
      <c r="C18" s="206">
        <v>14.073378898433774</v>
      </c>
      <c r="D18" s="206">
        <v>13.045482570099933</v>
      </c>
      <c r="E18" s="206">
        <v>12.047000108066433</v>
      </c>
      <c r="F18" s="207">
        <v>5.0009251813359334</v>
      </c>
      <c r="G18" s="214">
        <f>E18/F18</f>
        <v>2.4089542777059165</v>
      </c>
      <c r="H18" s="214">
        <v>17.38574422963066</v>
      </c>
    </row>
    <row r="19" spans="1:8" ht="18" customHeight="1">
      <c r="A19" s="138" t="s">
        <v>64</v>
      </c>
      <c r="B19" s="205">
        <v>6.9642227359260271</v>
      </c>
      <c r="C19" s="206">
        <v>6.7974239500474196</v>
      </c>
      <c r="D19" s="206">
        <v>7.5351680065525795</v>
      </c>
      <c r="E19" s="206">
        <v>10.403201055220526</v>
      </c>
      <c r="F19" s="207">
        <v>16.700352586556399</v>
      </c>
      <c r="G19" s="214">
        <f t="shared" ref="G19:G23" si="1">E19/F19</f>
        <v>0.62293301900673581</v>
      </c>
      <c r="H19" s="214">
        <v>4.4957906594044941</v>
      </c>
    </row>
    <row r="20" spans="1:8" ht="18" customHeight="1">
      <c r="A20" s="138" t="s">
        <v>65</v>
      </c>
      <c r="B20" s="205">
        <v>0.14221838455262442</v>
      </c>
      <c r="C20" s="206">
        <v>7.4728555530581692E-2</v>
      </c>
      <c r="D20" s="206">
        <v>6.7635777401916827E-2</v>
      </c>
      <c r="E20" s="206">
        <v>8.8009058444950897E-2</v>
      </c>
      <c r="F20" s="207">
        <v>0.15034388020579162</v>
      </c>
      <c r="G20" s="214">
        <f t="shared" si="1"/>
        <v>0.58538504077773945</v>
      </c>
      <c r="H20" s="214">
        <v>4.2248018939179453</v>
      </c>
    </row>
    <row r="21" spans="1:8" ht="18" customHeight="1">
      <c r="A21" s="138" t="s">
        <v>66</v>
      </c>
      <c r="B21" s="205">
        <v>1.0518237693772097</v>
      </c>
      <c r="C21" s="206">
        <v>0.19034975577398541</v>
      </c>
      <c r="D21" s="206">
        <v>0.20532814932369278</v>
      </c>
      <c r="E21" s="206">
        <v>0.22884072897188318</v>
      </c>
      <c r="F21" s="207">
        <v>2.2363594997102489</v>
      </c>
      <c r="G21" s="214">
        <f t="shared" si="1"/>
        <v>0.10232734450857862</v>
      </c>
      <c r="H21" s="214">
        <v>0.73851008953879071</v>
      </c>
    </row>
    <row r="22" spans="1:8" ht="18" customHeight="1">
      <c r="A22" s="138" t="s">
        <v>67</v>
      </c>
      <c r="B22" s="205">
        <v>6.942755031275496</v>
      </c>
      <c r="C22" s="206">
        <v>10.779660248995413</v>
      </c>
      <c r="D22" s="206">
        <v>10.465153258202967</v>
      </c>
      <c r="E22" s="206">
        <v>10.551482439966449</v>
      </c>
      <c r="F22" s="207">
        <v>4.8973370985809535</v>
      </c>
      <c r="G22" s="214">
        <f t="shared" si="1"/>
        <v>2.15453464353594</v>
      </c>
      <c r="H22" s="214">
        <v>15.549563805779789</v>
      </c>
    </row>
    <row r="23" spans="1:8" ht="18" customHeight="1">
      <c r="A23" s="138" t="s">
        <v>68</v>
      </c>
      <c r="B23" s="205">
        <v>0.97387965732934456</v>
      </c>
      <c r="C23" s="206">
        <v>0.75377316857899379</v>
      </c>
      <c r="D23" s="206">
        <v>0.77176784417391686</v>
      </c>
      <c r="E23" s="206">
        <v>1.1878423598486569</v>
      </c>
      <c r="F23" s="207">
        <v>0.33407361850099249</v>
      </c>
      <c r="G23" s="214">
        <f t="shared" si="1"/>
        <v>3.5556305378993223</v>
      </c>
      <c r="H23" s="214">
        <v>25.661459696051697</v>
      </c>
    </row>
    <row r="24" spans="1:8" ht="18" customHeight="1">
      <c r="A24" s="191" t="s">
        <v>70</v>
      </c>
      <c r="B24" s="202">
        <v>29.42144132444928</v>
      </c>
      <c r="C24" s="203">
        <v>25.520271855624323</v>
      </c>
      <c r="D24" s="203">
        <v>24.685012234668928</v>
      </c>
      <c r="E24" s="203">
        <v>27.365738478852691</v>
      </c>
      <c r="F24" s="204">
        <v>8.7833389753359281</v>
      </c>
      <c r="G24" s="213">
        <f>E24/F24</f>
        <v>3.1156418482421215</v>
      </c>
      <c r="H24" s="213">
        <v>22.486002655167052</v>
      </c>
    </row>
    <row r="25" spans="1:8" ht="18" customHeight="1">
      <c r="A25" s="138" t="s">
        <v>71</v>
      </c>
      <c r="B25" s="205">
        <v>24.054737761762304</v>
      </c>
      <c r="C25" s="206">
        <v>23.756374573084155</v>
      </c>
      <c r="D25" s="206">
        <v>23.252039897315839</v>
      </c>
      <c r="E25" s="206">
        <v>25.500940914073535</v>
      </c>
      <c r="F25" s="207">
        <v>6.316424011431037</v>
      </c>
      <c r="G25" s="214">
        <f>E25/F25</f>
        <v>4.0372433623714397</v>
      </c>
      <c r="H25" s="214">
        <v>29.137323668013899</v>
      </c>
    </row>
    <row r="26" spans="1:8" ht="18" customHeight="1">
      <c r="A26" s="138" t="s">
        <v>72</v>
      </c>
      <c r="B26" s="205">
        <v>5.0780220968180583</v>
      </c>
      <c r="C26" s="206">
        <v>1.3532356520642717</v>
      </c>
      <c r="D26" s="206">
        <v>1.1187392906627871</v>
      </c>
      <c r="E26" s="206">
        <v>1.4971482002632155</v>
      </c>
      <c r="F26" s="207">
        <v>2.0642324250118316</v>
      </c>
      <c r="G26" s="214">
        <f t="shared" ref="G26:G27" si="2">E26/F26</f>
        <v>0.72528082696629192</v>
      </c>
      <c r="H26" s="214">
        <v>5.2344484363975665</v>
      </c>
    </row>
    <row r="27" spans="1:8" ht="18" customHeight="1">
      <c r="A27" s="138" t="s">
        <v>73</v>
      </c>
      <c r="B27" s="205">
        <v>0.28868146586891485</v>
      </c>
      <c r="C27" s="206">
        <v>0.41066163047589804</v>
      </c>
      <c r="D27" s="206">
        <v>0.31423304669030105</v>
      </c>
      <c r="E27" s="206">
        <v>0.36764936451594193</v>
      </c>
      <c r="F27" s="207">
        <v>0.40268253889305955</v>
      </c>
      <c r="G27" s="214">
        <f t="shared" si="2"/>
        <v>0.91300051282724881</v>
      </c>
      <c r="H27" s="214">
        <v>6.589246439601359</v>
      </c>
    </row>
    <row r="28" spans="1:8" ht="33">
      <c r="A28" s="192" t="s">
        <v>69</v>
      </c>
      <c r="B28" s="196">
        <v>3.0573425346750067</v>
      </c>
      <c r="C28" s="197">
        <v>3.1896714324088742</v>
      </c>
      <c r="D28" s="197">
        <f>0.205+2.939</f>
        <v>3.1440000000000001</v>
      </c>
      <c r="E28" s="197">
        <v>3.0703537614910275</v>
      </c>
      <c r="F28" s="198">
        <v>3.0321683106483786</v>
      </c>
      <c r="G28" s="211">
        <f>E28/F28</f>
        <v>1.0125934469760629</v>
      </c>
      <c r="H28" s="211">
        <v>7.3080219249703307</v>
      </c>
    </row>
    <row r="29" spans="1:8" ht="18" customHeight="1">
      <c r="A29" s="14" t="s">
        <v>54</v>
      </c>
      <c r="B29" s="208">
        <v>99.997377005711172</v>
      </c>
      <c r="C29" s="209">
        <v>99.999885452242978</v>
      </c>
      <c r="D29" s="209">
        <f>D28+D16+D7</f>
        <v>100.00015334351224</v>
      </c>
      <c r="E29" s="209">
        <f>E28+E16+E7</f>
        <v>99.999999999999972</v>
      </c>
      <c r="F29" s="210">
        <v>99.999991820799366</v>
      </c>
      <c r="G29" s="215">
        <v>0.99999893631434911</v>
      </c>
      <c r="H29" s="215">
        <v>7.2171333389471242</v>
      </c>
    </row>
    <row r="30" spans="1:8" ht="3.95" customHeight="1"/>
    <row r="31" spans="1:8" ht="18">
      <c r="A31" s="4" t="s">
        <v>288</v>
      </c>
    </row>
    <row r="32" spans="1:8" ht="18">
      <c r="A32" s="4" t="s">
        <v>289</v>
      </c>
      <c r="F32" s="5"/>
    </row>
    <row r="33" spans="1:8" ht="18">
      <c r="A33" s="4" t="s">
        <v>290</v>
      </c>
    </row>
    <row r="34" spans="1:8">
      <c r="A34" s="4" t="s">
        <v>55</v>
      </c>
    </row>
    <row r="35" spans="1:8" ht="3.95" customHeight="1"/>
    <row r="36" spans="1:8" ht="15.75" customHeight="1">
      <c r="A36" s="337" t="s">
        <v>291</v>
      </c>
      <c r="B36" s="338"/>
      <c r="C36" s="338"/>
      <c r="D36" s="338"/>
      <c r="E36" s="338"/>
      <c r="F36" s="338"/>
      <c r="G36" s="338"/>
      <c r="H36" s="338"/>
    </row>
    <row r="37" spans="1:8">
      <c r="A37" s="338"/>
      <c r="B37" s="338"/>
      <c r="C37" s="338"/>
      <c r="D37" s="338"/>
      <c r="E37" s="338"/>
      <c r="F37" s="338"/>
      <c r="G37" s="338"/>
      <c r="H37" s="338"/>
    </row>
  </sheetData>
  <mergeCells count="3">
    <mergeCell ref="B5:E5"/>
    <mergeCell ref="B4:F4"/>
    <mergeCell ref="A36:H37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5">
    <pageSetUpPr fitToPage="1"/>
  </sheetPr>
  <dimension ref="A1:J31"/>
  <sheetViews>
    <sheetView showGridLines="0" workbookViewId="0">
      <selection sqref="A1:J26"/>
    </sheetView>
  </sheetViews>
  <sheetFormatPr baseColWidth="10" defaultColWidth="8.7265625" defaultRowHeight="16.5"/>
  <cols>
    <col min="1" max="1" width="16.26953125" style="4" customWidth="1"/>
    <col min="2" max="10" width="9.6328125" style="4" customWidth="1"/>
    <col min="11" max="16384" width="8.7265625" style="4"/>
  </cols>
  <sheetData>
    <row r="1" spans="1:10">
      <c r="A1" s="4" t="s">
        <v>234</v>
      </c>
    </row>
    <row r="2" spans="1:10">
      <c r="A2" s="189" t="s">
        <v>74</v>
      </c>
    </row>
    <row r="4" spans="1:10">
      <c r="B4" s="309" t="s">
        <v>75</v>
      </c>
      <c r="C4" s="310"/>
      <c r="D4" s="310"/>
      <c r="E4" s="310"/>
      <c r="F4" s="310"/>
      <c r="G4" s="310"/>
      <c r="H4" s="309" t="s">
        <v>217</v>
      </c>
      <c r="I4" s="339"/>
      <c r="J4" s="339"/>
    </row>
    <row r="5" spans="1:10" ht="33">
      <c r="A5" s="14"/>
      <c r="B5" s="15">
        <v>2015</v>
      </c>
      <c r="C5" s="16">
        <v>2016</v>
      </c>
      <c r="D5" s="16">
        <v>2019</v>
      </c>
      <c r="E5" s="16">
        <v>2020</v>
      </c>
      <c r="F5" s="16">
        <v>2021</v>
      </c>
      <c r="G5" s="16">
        <v>2022</v>
      </c>
      <c r="H5" s="136" t="s">
        <v>293</v>
      </c>
      <c r="I5" s="32" t="s">
        <v>294</v>
      </c>
      <c r="J5" s="32" t="s">
        <v>216</v>
      </c>
    </row>
    <row r="6" spans="1:10">
      <c r="A6" s="138" t="s">
        <v>76</v>
      </c>
      <c r="B6" s="217">
        <v>208.92699999999999</v>
      </c>
      <c r="C6" s="195">
        <v>188.27100000000002</v>
      </c>
      <c r="D6" s="195">
        <f>SUM(D7:D9)</f>
        <v>141.983</v>
      </c>
      <c r="E6" s="195">
        <f>E7+E8+E9</f>
        <v>146.779</v>
      </c>
      <c r="F6" s="195">
        <f>SUM(F7:F9)</f>
        <v>148.74099999999999</v>
      </c>
      <c r="G6" s="195">
        <f>SUM(G7:G9)</f>
        <v>150.05099999999999</v>
      </c>
      <c r="H6" s="219">
        <f>(F6-E6)*100/E6</f>
        <v>1.3367034793805579</v>
      </c>
      <c r="I6" s="206">
        <f>(G6-F6)*100/F6</f>
        <v>0.88072555650426065</v>
      </c>
      <c r="J6" s="195">
        <f t="shared" ref="J6:J22" si="0">(((F6+G6)-(B6+C6))*100)/(B6+C6)</f>
        <v>-24.775049219784592</v>
      </c>
    </row>
    <row r="7" spans="1:10">
      <c r="A7" s="138" t="s">
        <v>83</v>
      </c>
      <c r="B7" s="217">
        <v>46.808</v>
      </c>
      <c r="C7" s="195">
        <v>35.054000000000002</v>
      </c>
      <c r="D7" s="195">
        <v>34.509</v>
      </c>
      <c r="E7" s="195">
        <v>36.075000000000003</v>
      </c>
      <c r="F7" s="195">
        <v>35.491999999999997</v>
      </c>
      <c r="G7" s="195">
        <v>27.788</v>
      </c>
      <c r="H7" s="219">
        <f t="shared" ref="H7:H22" si="1">(F7-E7)*100/E7</f>
        <v>-1.6160776160776313</v>
      </c>
      <c r="I7" s="206">
        <f t="shared" ref="I7:I22" si="2">(G7-F7)*100/F7</f>
        <v>-21.706300011270141</v>
      </c>
      <c r="J7" s="195">
        <f t="shared" si="0"/>
        <v>-22.699176663164831</v>
      </c>
    </row>
    <row r="8" spans="1:10">
      <c r="A8" s="138" t="s">
        <v>84</v>
      </c>
      <c r="B8" s="217">
        <v>13.138</v>
      </c>
      <c r="C8" s="195">
        <v>10.919</v>
      </c>
      <c r="D8" s="195">
        <v>17.713999999999999</v>
      </c>
      <c r="E8" s="195">
        <v>14.63</v>
      </c>
      <c r="F8" s="195">
        <v>17.529</v>
      </c>
      <c r="G8" s="195">
        <v>13.946</v>
      </c>
      <c r="H8" s="219">
        <f t="shared" si="1"/>
        <v>19.815447710184547</v>
      </c>
      <c r="I8" s="206">
        <f t="shared" si="2"/>
        <v>-20.440413029836272</v>
      </c>
      <c r="J8" s="195">
        <f t="shared" si="0"/>
        <v>30.835099970902437</v>
      </c>
    </row>
    <row r="9" spans="1:10">
      <c r="A9" s="138" t="s">
        <v>85</v>
      </c>
      <c r="B9" s="217">
        <v>148.98099999999999</v>
      </c>
      <c r="C9" s="195">
        <v>142.298</v>
      </c>
      <c r="D9" s="195">
        <v>89.76</v>
      </c>
      <c r="E9" s="195">
        <v>96.073999999999998</v>
      </c>
      <c r="F9" s="195">
        <v>95.72</v>
      </c>
      <c r="G9" s="195">
        <v>108.31699999999999</v>
      </c>
      <c r="H9" s="219">
        <f t="shared" si="1"/>
        <v>-0.36846597414492915</v>
      </c>
      <c r="I9" s="206">
        <f t="shared" si="2"/>
        <v>13.160259089009605</v>
      </c>
      <c r="J9" s="195">
        <f t="shared" si="0"/>
        <v>-29.951352483357891</v>
      </c>
    </row>
    <row r="10" spans="1:10">
      <c r="A10" s="4" t="s">
        <v>77</v>
      </c>
      <c r="B10" s="218">
        <v>4.4260000000000002</v>
      </c>
      <c r="C10" s="194">
        <v>4.8049999999999997</v>
      </c>
      <c r="D10" s="194">
        <v>3.3479999999999999</v>
      </c>
      <c r="E10" s="194">
        <v>3.9140000000000001</v>
      </c>
      <c r="F10" s="194">
        <f>3.995+0.046</f>
        <v>4.0410000000000004</v>
      </c>
      <c r="G10" s="194">
        <f>3.818+0.286</f>
        <v>4.1040000000000001</v>
      </c>
      <c r="H10" s="220">
        <f t="shared" si="1"/>
        <v>3.2447623914154375</v>
      </c>
      <c r="I10" s="200">
        <f t="shared" si="2"/>
        <v>1.5590200445434228</v>
      </c>
      <c r="J10" s="194">
        <f t="shared" si="0"/>
        <v>-11.764705882352944</v>
      </c>
    </row>
    <row r="11" spans="1:10">
      <c r="A11" s="138" t="s">
        <v>78</v>
      </c>
      <c r="B11" s="217">
        <v>505.18200000000002</v>
      </c>
      <c r="C11" s="195">
        <v>417.08100000000002</v>
      </c>
      <c r="D11" s="195">
        <v>371.983</v>
      </c>
      <c r="E11" s="195">
        <v>283.66699999999997</v>
      </c>
      <c r="F11" s="195">
        <v>291.99400000000003</v>
      </c>
      <c r="G11" s="195">
        <v>381.73399999999998</v>
      </c>
      <c r="H11" s="219">
        <f t="shared" si="1"/>
        <v>2.9354842121219797</v>
      </c>
      <c r="I11" s="206">
        <f t="shared" si="2"/>
        <v>30.733508222771679</v>
      </c>
      <c r="J11" s="195">
        <f t="shared" si="0"/>
        <v>-26.948386740007997</v>
      </c>
    </row>
    <row r="12" spans="1:10">
      <c r="A12" s="4" t="s">
        <v>79</v>
      </c>
      <c r="B12" s="218">
        <v>2450.971</v>
      </c>
      <c r="C12" s="194">
        <v>2187.8040000000001</v>
      </c>
      <c r="D12" s="194">
        <v>1847.0519999999999</v>
      </c>
      <c r="E12" s="194">
        <v>1978.181</v>
      </c>
      <c r="F12" s="194">
        <v>2036.3869999999999</v>
      </c>
      <c r="G12" s="194">
        <v>1976.146</v>
      </c>
      <c r="H12" s="220">
        <f t="shared" si="1"/>
        <v>2.94240011404416</v>
      </c>
      <c r="I12" s="200">
        <f t="shared" si="2"/>
        <v>-2.9582294524567279</v>
      </c>
      <c r="J12" s="194">
        <f t="shared" si="0"/>
        <v>-13.500158985939171</v>
      </c>
    </row>
    <row r="13" spans="1:10">
      <c r="A13" s="138" t="s">
        <v>80</v>
      </c>
      <c r="B13" s="217">
        <v>271.56600000000003</v>
      </c>
      <c r="C13" s="195">
        <v>261.25700000000001</v>
      </c>
      <c r="D13" s="195">
        <f>SUM(D14:D18)</f>
        <v>254.27099999999999</v>
      </c>
      <c r="E13" s="195">
        <f>SUM(E14:E18)</f>
        <v>248.63200000000001</v>
      </c>
      <c r="F13" s="195">
        <f>SUM(F14:F18)</f>
        <v>232.56900000000002</v>
      </c>
      <c r="G13" s="195">
        <f>SUM(G14:G18)</f>
        <v>264.916</v>
      </c>
      <c r="H13" s="219">
        <f t="shared" si="1"/>
        <v>-6.4605521413172831</v>
      </c>
      <c r="I13" s="206">
        <f t="shared" si="2"/>
        <v>13.90856047022603</v>
      </c>
      <c r="J13" s="195">
        <f t="shared" si="0"/>
        <v>-6.6322212066671433</v>
      </c>
    </row>
    <row r="14" spans="1:10">
      <c r="A14" s="138" t="s">
        <v>86</v>
      </c>
      <c r="B14" s="217">
        <v>19.902000000000001</v>
      </c>
      <c r="C14" s="195">
        <v>22.151</v>
      </c>
      <c r="D14" s="195">
        <v>23.122</v>
      </c>
      <c r="E14" s="195">
        <v>26.231000000000002</v>
      </c>
      <c r="F14" s="195">
        <v>23.021000000000001</v>
      </c>
      <c r="G14" s="195">
        <v>23.952999999999999</v>
      </c>
      <c r="H14" s="219">
        <f t="shared" si="1"/>
        <v>-12.237428996225843</v>
      </c>
      <c r="I14" s="206">
        <f t="shared" si="2"/>
        <v>4.0484774770861325</v>
      </c>
      <c r="J14" s="195">
        <f t="shared" si="0"/>
        <v>11.701899983354355</v>
      </c>
    </row>
    <row r="15" spans="1:10">
      <c r="A15" s="138" t="s">
        <v>87</v>
      </c>
      <c r="B15" s="217">
        <v>92.51</v>
      </c>
      <c r="C15" s="195">
        <v>89.355999999999995</v>
      </c>
      <c r="D15" s="195">
        <v>87.488</v>
      </c>
      <c r="E15" s="195">
        <v>84.822999999999993</v>
      </c>
      <c r="F15" s="195">
        <v>77.900000000000006</v>
      </c>
      <c r="G15" s="195">
        <v>89.921000000000006</v>
      </c>
      <c r="H15" s="219">
        <f t="shared" si="1"/>
        <v>-8.161701425320949</v>
      </c>
      <c r="I15" s="206">
        <f t="shared" si="2"/>
        <v>15.431322207958923</v>
      </c>
      <c r="J15" s="195">
        <f t="shared" si="0"/>
        <v>-7.7227189249227237</v>
      </c>
    </row>
    <row r="16" spans="1:10">
      <c r="A16" s="138" t="s">
        <v>88</v>
      </c>
      <c r="B16" s="217">
        <v>70.311000000000007</v>
      </c>
      <c r="C16" s="195">
        <v>65.498999999999995</v>
      </c>
      <c r="D16" s="195">
        <v>64.881</v>
      </c>
      <c r="E16" s="195">
        <v>56.100999999999999</v>
      </c>
      <c r="F16" s="195">
        <v>48.143000000000001</v>
      </c>
      <c r="G16" s="195">
        <v>71.046999999999997</v>
      </c>
      <c r="H16" s="219">
        <f t="shared" si="1"/>
        <v>-14.18513038983262</v>
      </c>
      <c r="I16" s="206">
        <f t="shared" si="2"/>
        <v>47.574933012068207</v>
      </c>
      <c r="J16" s="195">
        <f t="shared" si="0"/>
        <v>-12.237685001104488</v>
      </c>
    </row>
    <row r="17" spans="1:10">
      <c r="A17" s="138" t="s">
        <v>89</v>
      </c>
      <c r="B17" s="217">
        <v>41.021000000000001</v>
      </c>
      <c r="C17" s="195">
        <v>32.569000000000003</v>
      </c>
      <c r="D17" s="195">
        <v>31.779</v>
      </c>
      <c r="E17" s="195">
        <v>30.716999999999999</v>
      </c>
      <c r="F17" s="195">
        <v>31.280999999999999</v>
      </c>
      <c r="G17" s="195">
        <v>31.779</v>
      </c>
      <c r="H17" s="219">
        <f t="shared" si="1"/>
        <v>1.8361168082820591</v>
      </c>
      <c r="I17" s="206">
        <f t="shared" si="2"/>
        <v>1.592020715450277</v>
      </c>
      <c r="J17" s="195">
        <f t="shared" si="0"/>
        <v>-14.30900937627395</v>
      </c>
    </row>
    <row r="18" spans="1:10">
      <c r="A18" s="138" t="s">
        <v>90</v>
      </c>
      <c r="B18" s="217">
        <v>47.822000000000003</v>
      </c>
      <c r="C18" s="195">
        <v>51.682000000000002</v>
      </c>
      <c r="D18" s="195">
        <v>47.000999999999998</v>
      </c>
      <c r="E18" s="195">
        <v>50.76</v>
      </c>
      <c r="F18" s="195">
        <v>52.223999999999997</v>
      </c>
      <c r="G18" s="195">
        <v>48.216000000000001</v>
      </c>
      <c r="H18" s="219">
        <f t="shared" si="1"/>
        <v>2.8841607565011795</v>
      </c>
      <c r="I18" s="206">
        <f t="shared" si="2"/>
        <v>-7.6746323529411686</v>
      </c>
      <c r="J18" s="195">
        <f t="shared" si="0"/>
        <v>0.94066570188132415</v>
      </c>
    </row>
    <row r="19" spans="1:10">
      <c r="A19" s="4" t="s">
        <v>81</v>
      </c>
      <c r="B19" s="218">
        <v>121.72800000000001</v>
      </c>
      <c r="C19" s="194">
        <v>121.98100000000001</v>
      </c>
      <c r="D19" s="194">
        <f>D20+D21</f>
        <v>117.43499999999999</v>
      </c>
      <c r="E19" s="194">
        <f>E20+E21</f>
        <v>117.958</v>
      </c>
      <c r="F19" s="194">
        <f>F20+F21</f>
        <v>115.458</v>
      </c>
      <c r="G19" s="194">
        <f>G20+G21</f>
        <v>135.69800000000001</v>
      </c>
      <c r="H19" s="220">
        <f t="shared" si="1"/>
        <v>-2.1193984299496433</v>
      </c>
      <c r="I19" s="200">
        <f t="shared" si="2"/>
        <v>17.530184136222704</v>
      </c>
      <c r="J19" s="194">
        <f t="shared" si="0"/>
        <v>3.0556934704914478</v>
      </c>
    </row>
    <row r="20" spans="1:10">
      <c r="A20" s="4" t="s">
        <v>214</v>
      </c>
      <c r="B20" s="218">
        <v>112.242</v>
      </c>
      <c r="C20" s="194">
        <v>112.569</v>
      </c>
      <c r="D20" s="194">
        <v>105.71299999999999</v>
      </c>
      <c r="E20" s="194">
        <v>106.82</v>
      </c>
      <c r="F20" s="194">
        <f>56.568+48.51</f>
        <v>105.078</v>
      </c>
      <c r="G20" s="194">
        <f>65.248+60.5</f>
        <v>125.748</v>
      </c>
      <c r="H20" s="220">
        <f t="shared" si="1"/>
        <v>-1.6307807526680307</v>
      </c>
      <c r="I20" s="200">
        <f t="shared" si="2"/>
        <v>19.6711014674813</v>
      </c>
      <c r="J20" s="194">
        <f t="shared" si="0"/>
        <v>2.6755808212231673</v>
      </c>
    </row>
    <row r="21" spans="1:10">
      <c r="A21" s="4" t="s">
        <v>91</v>
      </c>
      <c r="B21" s="218">
        <v>9.4860000000000007</v>
      </c>
      <c r="C21" s="194">
        <v>9.4120000000000008</v>
      </c>
      <c r="D21" s="194">
        <v>11.722</v>
      </c>
      <c r="E21" s="194">
        <v>11.138</v>
      </c>
      <c r="F21" s="194">
        <v>10.38</v>
      </c>
      <c r="G21" s="194">
        <v>9.9499999999999993</v>
      </c>
      <c r="H21" s="220">
        <f t="shared" si="1"/>
        <v>-6.8055306159094915</v>
      </c>
      <c r="I21" s="200">
        <f t="shared" si="2"/>
        <v>-4.1425818882466423</v>
      </c>
      <c r="J21" s="194">
        <f t="shared" si="0"/>
        <v>7.5775214308392149</v>
      </c>
    </row>
    <row r="22" spans="1:10">
      <c r="A22" s="138" t="s">
        <v>82</v>
      </c>
      <c r="B22" s="217">
        <v>141.13</v>
      </c>
      <c r="C22" s="195">
        <v>122.965</v>
      </c>
      <c r="D22" s="195">
        <v>141.27799999999999</v>
      </c>
      <c r="E22" s="195">
        <v>142.155</v>
      </c>
      <c r="F22" s="195">
        <v>125.02</v>
      </c>
      <c r="G22" s="195">
        <v>176.9</v>
      </c>
      <c r="H22" s="219">
        <f t="shared" si="1"/>
        <v>-12.053744152509587</v>
      </c>
      <c r="I22" s="206">
        <f t="shared" si="2"/>
        <v>41.497360422332434</v>
      </c>
      <c r="J22" s="195">
        <f t="shared" si="0"/>
        <v>14.322497586095908</v>
      </c>
    </row>
    <row r="23" spans="1:10" ht="3.95" customHeight="1"/>
    <row r="24" spans="1:10">
      <c r="A24" s="4" t="s">
        <v>224</v>
      </c>
    </row>
    <row r="25" spans="1:10" ht="3.95" customHeight="1"/>
    <row r="26" spans="1:10">
      <c r="A26" s="4" t="s">
        <v>292</v>
      </c>
    </row>
    <row r="29" spans="1:10">
      <c r="B29" s="5"/>
      <c r="C29" s="5"/>
      <c r="D29" s="5"/>
      <c r="E29" s="5"/>
    </row>
    <row r="31" spans="1:10">
      <c r="B31" s="5"/>
      <c r="C31" s="5"/>
      <c r="D31" s="5"/>
      <c r="E31" s="5"/>
    </row>
  </sheetData>
  <mergeCells count="2">
    <mergeCell ref="H4:J4"/>
    <mergeCell ref="B4:G4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E13 D6" formulaRange="1"/>
    <ignoredError sqref="E6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>
    <pageSetUpPr fitToPage="1"/>
  </sheetPr>
  <dimension ref="A1:K32"/>
  <sheetViews>
    <sheetView showGridLines="0" workbookViewId="0">
      <selection sqref="A1:K32"/>
    </sheetView>
  </sheetViews>
  <sheetFormatPr baseColWidth="10" defaultColWidth="8.7265625" defaultRowHeight="16.5"/>
  <cols>
    <col min="1" max="1" width="14.26953125" style="4" customWidth="1"/>
    <col min="2" max="8" width="8.54296875" style="4" customWidth="1"/>
    <col min="9" max="11" width="9.6328125" style="4" customWidth="1"/>
    <col min="12" max="16384" width="8.7265625" style="4"/>
  </cols>
  <sheetData>
    <row r="1" spans="1:11">
      <c r="A1" s="4" t="s">
        <v>235</v>
      </c>
    </row>
    <row r="2" spans="1:11">
      <c r="A2" s="189" t="s">
        <v>92</v>
      </c>
    </row>
    <row r="3" spans="1:11" ht="12" customHeight="1"/>
    <row r="4" spans="1:11">
      <c r="A4" s="14"/>
      <c r="B4" s="14"/>
      <c r="C4" s="14"/>
      <c r="D4" s="138"/>
      <c r="E4" s="318" t="s">
        <v>93</v>
      </c>
      <c r="F4" s="318"/>
      <c r="G4" s="318"/>
      <c r="H4" s="318"/>
      <c r="I4" s="318"/>
      <c r="J4" s="318"/>
      <c r="K4" s="318"/>
    </row>
    <row r="5" spans="1:11">
      <c r="A5" s="10"/>
      <c r="B5" s="10"/>
      <c r="C5" s="10"/>
      <c r="D5" s="10" t="s">
        <v>97</v>
      </c>
      <c r="E5" s="10">
        <v>2005</v>
      </c>
      <c r="F5" s="10">
        <v>2017</v>
      </c>
      <c r="G5" s="10">
        <v>2018</v>
      </c>
      <c r="H5" s="10">
        <v>2019</v>
      </c>
      <c r="I5" s="10">
        <v>2020</v>
      </c>
      <c r="J5" s="10">
        <v>2021</v>
      </c>
      <c r="K5" s="10" t="s">
        <v>218</v>
      </c>
    </row>
    <row r="6" spans="1:11" ht="18">
      <c r="A6" s="4" t="s">
        <v>295</v>
      </c>
      <c r="B6" s="221"/>
      <c r="C6" s="221"/>
      <c r="D6" s="223">
        <v>1644.499</v>
      </c>
      <c r="E6" s="223">
        <v>2258.1170000000002</v>
      </c>
      <c r="F6" s="223">
        <v>2670.9720000000002</v>
      </c>
      <c r="G6" s="223">
        <v>2752.828</v>
      </c>
      <c r="H6" s="223">
        <v>2815.3398058252428</v>
      </c>
      <c r="I6" s="223">
        <v>2888.223</v>
      </c>
      <c r="J6" s="227">
        <v>2923.7269999999999</v>
      </c>
      <c r="K6" s="227">
        <f>J6*(1-0.0057)</f>
        <v>2907.0617560999999</v>
      </c>
    </row>
    <row r="7" spans="1:11" ht="18">
      <c r="A7" s="138" t="s">
        <v>296</v>
      </c>
      <c r="B7" s="222"/>
      <c r="C7" s="222"/>
      <c r="D7" s="224">
        <v>52.5</v>
      </c>
      <c r="E7" s="225">
        <v>96.09</v>
      </c>
      <c r="F7" s="225">
        <v>94.988</v>
      </c>
      <c r="G7" s="225">
        <v>94.11</v>
      </c>
      <c r="H7" s="225">
        <v>103.39700000000001</v>
      </c>
      <c r="I7" s="225">
        <v>95.602999999999994</v>
      </c>
      <c r="J7" s="228">
        <v>100.752</v>
      </c>
      <c r="K7" s="228">
        <v>97.233000000000004</v>
      </c>
    </row>
    <row r="8" spans="1:11" ht="18">
      <c r="A8" s="4" t="s">
        <v>297</v>
      </c>
      <c r="B8" s="221"/>
      <c r="C8" s="221"/>
      <c r="D8" s="226">
        <v>85.6</v>
      </c>
      <c r="E8" s="223">
        <v>101.628</v>
      </c>
      <c r="F8" s="223">
        <v>81.879000000000005</v>
      </c>
      <c r="G8" s="223">
        <v>76.099000000000004</v>
      </c>
      <c r="H8" s="223">
        <v>88.126999999999995</v>
      </c>
      <c r="I8" s="223">
        <v>91.616</v>
      </c>
      <c r="J8" s="227">
        <v>88.397999999999996</v>
      </c>
      <c r="K8" s="227">
        <v>84.614999999999995</v>
      </c>
    </row>
    <row r="9" spans="1:11" ht="18">
      <c r="A9" s="138" t="s">
        <v>298</v>
      </c>
      <c r="B9" s="222"/>
      <c r="C9" s="222"/>
      <c r="D9" s="224">
        <v>92.6</v>
      </c>
      <c r="E9" s="225">
        <v>163.42400000000001</v>
      </c>
      <c r="F9" s="225">
        <v>197.654</v>
      </c>
      <c r="G9" s="225">
        <v>213.98599999999999</v>
      </c>
      <c r="H9" s="225">
        <v>224.08500000000001</v>
      </c>
      <c r="I9" s="225">
        <v>223.523</v>
      </c>
      <c r="J9" s="228">
        <v>217.83699999999999</v>
      </c>
      <c r="K9" s="228">
        <v>210.35</v>
      </c>
    </row>
    <row r="10" spans="1:11" ht="18">
      <c r="A10" s="4" t="s">
        <v>299</v>
      </c>
      <c r="B10" s="221"/>
      <c r="C10" s="221"/>
      <c r="D10" s="226">
        <v>0.9</v>
      </c>
      <c r="E10" s="223">
        <v>0.55795799999999995</v>
      </c>
      <c r="F10" s="223">
        <v>0.36</v>
      </c>
      <c r="G10" s="223">
        <v>0.32400000000000001</v>
      </c>
      <c r="H10" s="223">
        <v>0.30599999999999999</v>
      </c>
      <c r="I10" s="223">
        <v>0.26300000000000001</v>
      </c>
      <c r="J10" s="227">
        <v>0.313</v>
      </c>
      <c r="K10" s="227">
        <v>0.378</v>
      </c>
    </row>
    <row r="11" spans="1:11" ht="18">
      <c r="A11" s="138" t="s">
        <v>300</v>
      </c>
      <c r="B11" s="222"/>
      <c r="C11" s="222"/>
      <c r="D11" s="224">
        <v>0.3</v>
      </c>
      <c r="E11" s="225">
        <v>0.14801800000000001</v>
      </c>
      <c r="F11" s="225">
        <v>5.8999999999999997E-2</v>
      </c>
      <c r="G11" s="225">
        <v>4.5999999999999999E-2</v>
      </c>
      <c r="H11" s="225">
        <v>5.8000000000000003E-2</v>
      </c>
      <c r="I11" s="225">
        <v>0.05</v>
      </c>
      <c r="J11" s="228">
        <v>4.4999999999999998E-2</v>
      </c>
      <c r="K11" s="228">
        <v>6.0999999999999999E-2</v>
      </c>
    </row>
    <row r="12" spans="1:11" ht="18">
      <c r="A12" s="4" t="s">
        <v>301</v>
      </c>
      <c r="B12" s="221"/>
      <c r="C12" s="221"/>
      <c r="D12" s="226">
        <v>10.1</v>
      </c>
      <c r="E12" s="223">
        <v>6.7169999999999996</v>
      </c>
      <c r="F12" s="223">
        <v>14.286</v>
      </c>
      <c r="G12" s="223">
        <v>12.119</v>
      </c>
      <c r="H12" s="223">
        <v>11.166</v>
      </c>
      <c r="I12" s="223">
        <v>10.970595000000001</v>
      </c>
      <c r="J12" s="227">
        <f>+I12*0.928</f>
        <v>10.180712160000002</v>
      </c>
      <c r="K12" s="227">
        <f>+J12*0.8911</f>
        <v>9.0720326057760019</v>
      </c>
    </row>
    <row r="13" spans="1:11" ht="18">
      <c r="A13" s="138" t="s">
        <v>302</v>
      </c>
      <c r="B13" s="222"/>
      <c r="C13" s="222"/>
      <c r="D13" s="224">
        <v>122.5</v>
      </c>
      <c r="E13" s="225">
        <v>58.948</v>
      </c>
      <c r="F13" s="225">
        <v>41.648000000000003</v>
      </c>
      <c r="G13" s="225">
        <v>36.715000000000003</v>
      </c>
      <c r="H13" s="225">
        <v>40.131999999999998</v>
      </c>
      <c r="I13" s="225">
        <v>47.561</v>
      </c>
      <c r="J13" s="228">
        <v>49.344999999999999</v>
      </c>
      <c r="K13" s="228"/>
    </row>
    <row r="14" spans="1:11">
      <c r="A14"/>
      <c r="B14"/>
      <c r="C14"/>
      <c r="D14"/>
      <c r="E14"/>
      <c r="F14"/>
      <c r="G14"/>
      <c r="H14"/>
      <c r="I14"/>
      <c r="J14"/>
      <c r="K14"/>
    </row>
    <row r="15" spans="1:11" ht="33">
      <c r="A15" s="14"/>
      <c r="B15" s="309" t="s">
        <v>94</v>
      </c>
      <c r="C15" s="310"/>
      <c r="D15" s="310"/>
      <c r="E15" s="310"/>
      <c r="F15" s="310"/>
      <c r="G15" s="310"/>
      <c r="H15" s="310"/>
      <c r="I15" s="136" t="s">
        <v>95</v>
      </c>
      <c r="J15" s="309" t="s">
        <v>96</v>
      </c>
      <c r="K15" s="310"/>
    </row>
    <row r="16" spans="1:11" ht="33">
      <c r="A16" s="10"/>
      <c r="B16" s="136" t="s">
        <v>305</v>
      </c>
      <c r="C16" s="32" t="s">
        <v>220</v>
      </c>
      <c r="D16" s="32" t="s">
        <v>306</v>
      </c>
      <c r="E16" s="32" t="s">
        <v>307</v>
      </c>
      <c r="F16" s="32" t="s">
        <v>308</v>
      </c>
      <c r="G16" s="32" t="s">
        <v>309</v>
      </c>
      <c r="H16" s="32" t="s">
        <v>310</v>
      </c>
      <c r="I16" s="136" t="s">
        <v>311</v>
      </c>
      <c r="J16" s="15" t="s">
        <v>97</v>
      </c>
      <c r="K16" s="16" t="s">
        <v>218</v>
      </c>
    </row>
    <row r="17" spans="1:11" ht="18">
      <c r="A17" s="4" t="s">
        <v>295</v>
      </c>
      <c r="B17" s="230">
        <f t="shared" ref="B17:B24" si="0">(((E6/D6)^(1/20))-1)*100</f>
        <v>1.5981128913340914</v>
      </c>
      <c r="C17" s="231">
        <f t="shared" ref="C17:C24" si="1">(((F6/E6)^(1/12))-1)*100</f>
        <v>1.4090952183262173</v>
      </c>
      <c r="D17" s="231">
        <f t="shared" ref="D17:G17" si="2">(G6-F6)*100/F6</f>
        <v>3.0646521191536173</v>
      </c>
      <c r="E17" s="231">
        <f t="shared" si="2"/>
        <v>2.2708213453671222</v>
      </c>
      <c r="F17" s="231">
        <f t="shared" si="2"/>
        <v>2.5887885371404873</v>
      </c>
      <c r="G17" s="231">
        <f t="shared" si="2"/>
        <v>1.2292679616497724</v>
      </c>
      <c r="H17" s="231">
        <f t="shared" ref="H17:H23" si="3">(K6-J6)*100/J6</f>
        <v>-0.56999999999999829</v>
      </c>
      <c r="I17" s="230">
        <f>(K6-D6)*100/D6</f>
        <v>76.774917838198732</v>
      </c>
      <c r="J17" s="230">
        <v>26.906070026178007</v>
      </c>
      <c r="K17" s="231">
        <v>40.85</v>
      </c>
    </row>
    <row r="18" spans="1:11" ht="18">
      <c r="A18" s="138" t="s">
        <v>296</v>
      </c>
      <c r="B18" s="232">
        <f t="shared" si="0"/>
        <v>3.0684973610475286</v>
      </c>
      <c r="C18" s="233">
        <f t="shared" si="1"/>
        <v>-9.6076187719817963E-2</v>
      </c>
      <c r="D18" s="233">
        <f t="shared" ref="D18:G18" si="4">(G7-F7)*100/F7</f>
        <v>-0.92432728344633019</v>
      </c>
      <c r="E18" s="233">
        <f t="shared" si="4"/>
        <v>9.8682392944426809</v>
      </c>
      <c r="F18" s="233">
        <f t="shared" si="4"/>
        <v>-7.5379363037612412</v>
      </c>
      <c r="G18" s="233">
        <f t="shared" si="4"/>
        <v>5.3858142526908166</v>
      </c>
      <c r="H18" s="233">
        <f t="shared" si="3"/>
        <v>-3.4927346355407249</v>
      </c>
      <c r="I18" s="232">
        <f t="shared" ref="I18:I23" si="5">(K7-D7)*100/D7</f>
        <v>85.205714285714294</v>
      </c>
      <c r="J18" s="232">
        <v>13.11</v>
      </c>
      <c r="K18" s="233">
        <f>K7*100/731.527357316858</f>
        <v>13.291779046601526</v>
      </c>
    </row>
    <row r="19" spans="1:11" ht="18">
      <c r="A19" s="4" t="s">
        <v>297</v>
      </c>
      <c r="B19" s="230">
        <f t="shared" si="0"/>
        <v>0.86186184926335674</v>
      </c>
      <c r="C19" s="231">
        <f t="shared" si="1"/>
        <v>-1.784523217246492</v>
      </c>
      <c r="D19" s="231">
        <f t="shared" ref="D19:G19" si="6">(G8-F8)*100/F8</f>
        <v>-7.0591971079275524</v>
      </c>
      <c r="E19" s="231">
        <f t="shared" si="6"/>
        <v>15.805726750680025</v>
      </c>
      <c r="F19" s="231">
        <f t="shared" si="6"/>
        <v>3.9590590851838874</v>
      </c>
      <c r="G19" s="231">
        <f t="shared" si="6"/>
        <v>-3.5124869018512088</v>
      </c>
      <c r="H19" s="231">
        <f t="shared" si="3"/>
        <v>-4.2795085861671094</v>
      </c>
      <c r="I19" s="230">
        <f t="shared" si="5"/>
        <v>-1.1507009345794386</v>
      </c>
      <c r="J19" s="230">
        <v>7.39</v>
      </c>
      <c r="K19" s="231">
        <f>K8*100/506.63492470491</f>
        <v>16.701375265292672</v>
      </c>
    </row>
    <row r="20" spans="1:11" ht="18">
      <c r="A20" s="138" t="s">
        <v>298</v>
      </c>
      <c r="B20" s="232">
        <f t="shared" si="0"/>
        <v>2.881015527261388</v>
      </c>
      <c r="C20" s="233">
        <f t="shared" si="1"/>
        <v>1.597373563807758</v>
      </c>
      <c r="D20" s="233">
        <f t="shared" ref="D20:G20" si="7">(G9-F9)*100/F9</f>
        <v>8.2629240996893536</v>
      </c>
      <c r="E20" s="233">
        <f t="shared" si="7"/>
        <v>4.7194676287233834</v>
      </c>
      <c r="F20" s="233">
        <f t="shared" si="7"/>
        <v>-0.25079768837718358</v>
      </c>
      <c r="G20" s="233">
        <f t="shared" si="7"/>
        <v>-2.5438098092813748</v>
      </c>
      <c r="H20" s="233">
        <f t="shared" si="3"/>
        <v>-3.4369735168956583</v>
      </c>
      <c r="I20" s="232">
        <f t="shared" si="5"/>
        <v>127.15982721382291</v>
      </c>
      <c r="J20" s="232">
        <v>11.36</v>
      </c>
      <c r="K20" s="233">
        <f>K9*100/1638.63833449319</f>
        <v>12.836877764431074</v>
      </c>
    </row>
    <row r="21" spans="1:11" ht="18">
      <c r="A21" s="4" t="s">
        <v>299</v>
      </c>
      <c r="B21" s="230">
        <f t="shared" si="0"/>
        <v>-2.3622079245953165</v>
      </c>
      <c r="C21" s="231">
        <f t="shared" si="1"/>
        <v>-3.5856340991454627</v>
      </c>
      <c r="D21" s="231">
        <f t="shared" ref="D21:G23" si="8">(G10-F10)*100/F10</f>
        <v>-9.9999999999999947</v>
      </c>
      <c r="E21" s="231">
        <f t="shared" si="8"/>
        <v>-5.5555555555555607</v>
      </c>
      <c r="F21" s="231">
        <f t="shared" si="8"/>
        <v>-14.052287581699341</v>
      </c>
      <c r="G21" s="231">
        <f t="shared" si="8"/>
        <v>19.01140684410646</v>
      </c>
      <c r="H21" s="231">
        <f t="shared" si="3"/>
        <v>20.766773162939298</v>
      </c>
      <c r="I21" s="230">
        <f t="shared" si="5"/>
        <v>-58</v>
      </c>
      <c r="J21" s="230">
        <v>0.73</v>
      </c>
      <c r="K21" s="231">
        <f>K10*100/119.147847369346</f>
        <v>0.31725289910462173</v>
      </c>
    </row>
    <row r="22" spans="1:11" ht="18">
      <c r="A22" s="138" t="s">
        <v>300</v>
      </c>
      <c r="B22" s="232">
        <f t="shared" si="0"/>
        <v>-3.4705873065916104</v>
      </c>
      <c r="C22" s="233">
        <f t="shared" si="1"/>
        <v>-7.378575376579577</v>
      </c>
      <c r="D22" s="233">
        <f t="shared" ref="D22:G24" si="9">(G11-F11)*100/F11</f>
        <v>-22.033898305084744</v>
      </c>
      <c r="E22" s="233">
        <f t="shared" si="9"/>
        <v>26.08695652173914</v>
      </c>
      <c r="F22" s="233">
        <f t="shared" si="9"/>
        <v>-13.793103448275863</v>
      </c>
      <c r="G22" s="233">
        <f t="shared" si="9"/>
        <v>-10.000000000000009</v>
      </c>
      <c r="H22" s="233">
        <f t="shared" si="3"/>
        <v>35.555555555555557</v>
      </c>
      <c r="I22" s="232">
        <f t="shared" si="5"/>
        <v>-79.666666666666671</v>
      </c>
      <c r="J22" s="232">
        <v>3.66</v>
      </c>
      <c r="K22" s="233">
        <f>K11*100/11.0736420793764</f>
        <v>0.55085760911133896</v>
      </c>
    </row>
    <row r="23" spans="1:11" ht="18">
      <c r="A23" s="4" t="s">
        <v>301</v>
      </c>
      <c r="B23" s="230">
        <f t="shared" si="0"/>
        <v>-2.0188124850469724</v>
      </c>
      <c r="C23" s="231">
        <f t="shared" si="1"/>
        <v>6.4906001968813243</v>
      </c>
      <c r="D23" s="231">
        <f t="shared" si="9"/>
        <v>-15.168696626067478</v>
      </c>
      <c r="E23" s="231">
        <f t="shared" si="9"/>
        <v>-7.8636851225348581</v>
      </c>
      <c r="F23" s="231">
        <f t="shared" si="8"/>
        <v>-1.7499999999999925</v>
      </c>
      <c r="G23" s="231">
        <f t="shared" si="9"/>
        <v>-7.1999999999999886</v>
      </c>
      <c r="H23" s="231">
        <f t="shared" si="3"/>
        <v>-10.890000000000002</v>
      </c>
      <c r="I23" s="230">
        <f t="shared" si="5"/>
        <v>-10.17789499231681</v>
      </c>
      <c r="J23" s="230">
        <v>12.87</v>
      </c>
      <c r="K23" s="231">
        <f>9.1*100/(41.114)</f>
        <v>22.133579802500368</v>
      </c>
    </row>
    <row r="24" spans="1:11" ht="18">
      <c r="A24" s="138" t="s">
        <v>302</v>
      </c>
      <c r="B24" s="232">
        <f t="shared" si="0"/>
        <v>-3.5912061991636768</v>
      </c>
      <c r="C24" s="233">
        <f t="shared" si="1"/>
        <v>-2.8535153830053117</v>
      </c>
      <c r="D24" s="233">
        <f t="shared" ref="D24" si="10">(G13-F13)*100/F13</f>
        <v>-11.844506338839798</v>
      </c>
      <c r="E24" s="233">
        <f t="shared" ref="E24" si="11">(H13-G13)*100/G13</f>
        <v>9.3068228244586528</v>
      </c>
      <c r="F24" s="233">
        <f t="shared" si="9"/>
        <v>18.51141233928038</v>
      </c>
      <c r="G24" s="233">
        <f t="shared" si="9"/>
        <v>3.750972435398749</v>
      </c>
      <c r="H24" s="233"/>
      <c r="I24" s="232">
        <f>(I13-D13)*100/D13</f>
        <v>-61.174693877551015</v>
      </c>
      <c r="J24" s="232">
        <v>13.91</v>
      </c>
      <c r="K24" s="233">
        <f>J13*100/1128.836</f>
        <v>4.3713170026469745</v>
      </c>
    </row>
    <row r="25" spans="1:11" ht="3.95" customHeight="1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8">
      <c r="A26" s="4" t="s">
        <v>332</v>
      </c>
    </row>
    <row r="27" spans="1:11" ht="33" customHeight="1">
      <c r="A27" s="337" t="s">
        <v>331</v>
      </c>
      <c r="B27" s="337"/>
      <c r="C27" s="337"/>
      <c r="D27" s="337"/>
      <c r="E27" s="337"/>
      <c r="F27" s="337"/>
      <c r="G27" s="337"/>
      <c r="H27" s="337"/>
      <c r="I27" s="337"/>
      <c r="J27" s="337"/>
      <c r="K27" s="337"/>
    </row>
    <row r="28" spans="1:11">
      <c r="A28" s="4" t="s">
        <v>219</v>
      </c>
    </row>
    <row r="29" spans="1:11" ht="3.95" customHeight="1"/>
    <row r="30" spans="1:11">
      <c r="A30" s="4" t="s">
        <v>18</v>
      </c>
    </row>
    <row r="31" spans="1:11">
      <c r="A31" s="4" t="s">
        <v>303</v>
      </c>
    </row>
    <row r="32" spans="1:11">
      <c r="A32" s="4" t="s">
        <v>304</v>
      </c>
    </row>
  </sheetData>
  <mergeCells count="4">
    <mergeCell ref="B15:H15"/>
    <mergeCell ref="J15:K15"/>
    <mergeCell ref="E4:K4"/>
    <mergeCell ref="A27:K27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  <ignoredErrors>
    <ignoredError sqref="D5 J16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7"/>
  <dimension ref="A1:G40"/>
  <sheetViews>
    <sheetView showGridLines="0" topLeftCell="A10" workbookViewId="0">
      <selection sqref="A1:G40"/>
    </sheetView>
  </sheetViews>
  <sheetFormatPr baseColWidth="10" defaultColWidth="8.7265625" defaultRowHeight="16.5"/>
  <cols>
    <col min="1" max="1" width="1.7265625" customWidth="1"/>
    <col min="2" max="2" width="33.08984375" customWidth="1"/>
    <col min="3" max="5" width="13.6328125" customWidth="1"/>
    <col min="6" max="6" width="13.453125" customWidth="1"/>
    <col min="7" max="7" width="13.6328125" customWidth="1"/>
  </cols>
  <sheetData>
    <row r="1" spans="1:7">
      <c r="A1" t="s">
        <v>236</v>
      </c>
    </row>
    <row r="2" spans="1:7">
      <c r="A2" s="340" t="s">
        <v>156</v>
      </c>
      <c r="B2" s="340"/>
      <c r="C2" s="340"/>
      <c r="D2" s="340"/>
      <c r="E2" s="340"/>
      <c r="F2" s="340"/>
      <c r="G2" s="340"/>
    </row>
    <row r="3" spans="1:7" ht="12.75" customHeight="1"/>
    <row r="4" spans="1:7">
      <c r="A4" s="14"/>
      <c r="B4" s="14"/>
      <c r="C4" s="137" t="s">
        <v>312</v>
      </c>
      <c r="D4" s="137" t="s">
        <v>161</v>
      </c>
      <c r="E4" s="137" t="s">
        <v>176</v>
      </c>
      <c r="F4" s="137" t="s">
        <v>215</v>
      </c>
      <c r="G4" s="137" t="s">
        <v>221</v>
      </c>
    </row>
    <row r="5" spans="1:7" ht="21.75" customHeight="1">
      <c r="A5" s="8" t="s">
        <v>98</v>
      </c>
    </row>
    <row r="6" spans="1:7">
      <c r="A6" s="138"/>
      <c r="B6" s="191" t="s">
        <v>99</v>
      </c>
      <c r="C6" s="234">
        <v>9.4506994770410877</v>
      </c>
      <c r="D6" s="234">
        <v>-7.146322578370885</v>
      </c>
      <c r="E6" s="234">
        <v>-8.624488661420866</v>
      </c>
      <c r="F6" s="235">
        <v>8.5297721156027748</v>
      </c>
      <c r="G6" s="235">
        <v>23.292854770860384</v>
      </c>
    </row>
    <row r="7" spans="1:7">
      <c r="A7" s="138"/>
      <c r="B7" s="138" t="s">
        <v>100</v>
      </c>
      <c r="C7" s="236">
        <v>1.6543941857129236</v>
      </c>
      <c r="D7" s="236">
        <v>2.6313084592455422</v>
      </c>
      <c r="E7" s="236">
        <v>-2.0030045067597417E-2</v>
      </c>
      <c r="F7" s="237">
        <v>32.124611840128225</v>
      </c>
      <c r="G7" s="237">
        <v>39.41622441243365</v>
      </c>
    </row>
    <row r="8" spans="1:7">
      <c r="A8" s="138"/>
      <c r="B8" s="138" t="s">
        <v>101</v>
      </c>
      <c r="C8" s="236">
        <v>-0.19996522343939294</v>
      </c>
      <c r="D8" s="236">
        <v>-15.470463729074465</v>
      </c>
      <c r="E8" s="236">
        <v>-7.2046437514227151</v>
      </c>
      <c r="F8" s="237">
        <v>18.533055317061205</v>
      </c>
      <c r="G8" s="237">
        <v>44.743377483443702</v>
      </c>
    </row>
    <row r="9" spans="1:7">
      <c r="A9" s="138"/>
      <c r="B9" s="138" t="s">
        <v>102</v>
      </c>
      <c r="C9" s="236">
        <v>2.6256464659859491</v>
      </c>
      <c r="D9" s="236">
        <v>-1.6051364365971024</v>
      </c>
      <c r="E9" s="236">
        <v>-21.444460922438097</v>
      </c>
      <c r="F9" s="237">
        <v>6.3526524447800687</v>
      </c>
      <c r="G9" s="237">
        <v>42.291648176089453</v>
      </c>
    </row>
    <row r="10" spans="1:7">
      <c r="A10" s="138"/>
      <c r="B10" s="138" t="s">
        <v>103</v>
      </c>
      <c r="C10" s="236">
        <v>2.4313869957634928</v>
      </c>
      <c r="D10" s="236">
        <v>-13.735359597328426</v>
      </c>
      <c r="E10" s="236">
        <v>29.813734290843794</v>
      </c>
      <c r="F10" s="237">
        <v>-4.8923848215057451</v>
      </c>
      <c r="G10" s="237">
        <v>-8.0341724984095269</v>
      </c>
    </row>
    <row r="11" spans="1:7">
      <c r="A11" s="138"/>
      <c r="B11" s="138" t="s">
        <v>165</v>
      </c>
      <c r="C11" s="236">
        <v>8.1112295664534422</v>
      </c>
      <c r="D11" s="236">
        <v>-16.656036446469251</v>
      </c>
      <c r="E11" s="236">
        <v>16.672132939761671</v>
      </c>
      <c r="F11" s="237">
        <v>7.0183658170914498</v>
      </c>
      <c r="G11" s="237">
        <v>11.794063567113225</v>
      </c>
    </row>
    <row r="12" spans="1:7">
      <c r="A12" s="138"/>
      <c r="B12" s="138" t="s">
        <v>104</v>
      </c>
      <c r="C12" s="236">
        <v>-0.26302478502781074</v>
      </c>
      <c r="D12" s="236">
        <v>-3.1811023622047254</v>
      </c>
      <c r="E12" s="236">
        <v>4.6302320537844244</v>
      </c>
      <c r="F12" s="237">
        <v>6.3426261788786453</v>
      </c>
      <c r="G12" s="237">
        <v>21.557353084494693</v>
      </c>
    </row>
    <row r="13" spans="1:7">
      <c r="A13" s="138"/>
      <c r="B13" s="138" t="s">
        <v>105</v>
      </c>
      <c r="C13" s="236">
        <v>19.888717888007573</v>
      </c>
      <c r="D13" s="236">
        <v>-14.995272612669391</v>
      </c>
      <c r="E13" s="236">
        <v>-16.179741954619612</v>
      </c>
      <c r="F13" s="237">
        <v>6.5817409766454329</v>
      </c>
      <c r="G13" s="237">
        <v>10.624169986719785</v>
      </c>
    </row>
    <row r="14" spans="1:7">
      <c r="A14" s="138"/>
      <c r="B14" s="138" t="s">
        <v>106</v>
      </c>
      <c r="C14" s="236">
        <v>5.4327995134806395</v>
      </c>
      <c r="D14" s="236">
        <v>9.6821877309682218</v>
      </c>
      <c r="E14" s="236">
        <v>-3.1189834424335725</v>
      </c>
      <c r="F14" s="237">
        <v>2.9809220985691574</v>
      </c>
      <c r="G14" s="237">
        <v>-0.41489772288692284</v>
      </c>
    </row>
    <row r="15" spans="1:7">
      <c r="A15" s="138"/>
      <c r="B15" s="138" t="s">
        <v>107</v>
      </c>
      <c r="C15" s="236">
        <v>-0.15973097940310865</v>
      </c>
      <c r="D15" s="236">
        <v>15.5007772596047</v>
      </c>
      <c r="E15" s="236">
        <v>-5.604691405498941</v>
      </c>
      <c r="F15" s="237">
        <v>-0.93695895712394517</v>
      </c>
      <c r="G15" s="237">
        <v>55.433329906445977</v>
      </c>
    </row>
    <row r="16" spans="1:7">
      <c r="B16" s="8" t="s">
        <v>108</v>
      </c>
      <c r="C16" s="238">
        <v>1.2610175009141724</v>
      </c>
      <c r="D16" s="238">
        <v>0.21059637805434345</v>
      </c>
      <c r="E16" s="238">
        <v>4.5112771448510558E-2</v>
      </c>
      <c r="F16" s="239">
        <v>4.3103210475204774</v>
      </c>
      <c r="G16" s="239">
        <v>28.095233323501446</v>
      </c>
    </row>
    <row r="17" spans="1:7">
      <c r="B17" t="s">
        <v>109</v>
      </c>
      <c r="C17" s="240">
        <v>1.2435921777102736</v>
      </c>
      <c r="D17" s="240">
        <v>3.2231319307700277</v>
      </c>
      <c r="E17" s="240">
        <v>2.5100401606425704</v>
      </c>
      <c r="F17" s="241">
        <v>4.4466209598432975</v>
      </c>
      <c r="G17" s="241">
        <v>29.266691672918224</v>
      </c>
    </row>
    <row r="18" spans="1:7">
      <c r="B18" t="s">
        <v>110</v>
      </c>
      <c r="C18" s="240">
        <v>1.5127455077308716</v>
      </c>
      <c r="D18" s="240">
        <v>-2.5510693392154953</v>
      </c>
      <c r="E18" s="240">
        <v>-3.4937506150969364</v>
      </c>
      <c r="F18" s="241">
        <v>6.0065266163573323</v>
      </c>
      <c r="G18" s="241">
        <v>29.004329004328994</v>
      </c>
    </row>
    <row r="19" spans="1:7">
      <c r="B19" t="s">
        <v>111</v>
      </c>
      <c r="C19" s="240">
        <v>-3.3433347621088774</v>
      </c>
      <c r="D19" s="240">
        <v>10.377543035993741</v>
      </c>
      <c r="E19" s="240">
        <v>-3.5533894550287912</v>
      </c>
      <c r="F19" s="241">
        <v>-2.2785740536567474</v>
      </c>
      <c r="G19" s="241">
        <v>22.141782625047007</v>
      </c>
    </row>
    <row r="20" spans="1:7">
      <c r="B20" t="s">
        <v>112</v>
      </c>
      <c r="C20" s="240">
        <v>2.175562863647861</v>
      </c>
      <c r="D20" s="240">
        <v>-9.0680830516658624</v>
      </c>
      <c r="E20" s="240">
        <v>0.24426508071368308</v>
      </c>
      <c r="F20" s="241">
        <v>6.1129356923402858</v>
      </c>
      <c r="G20" s="241">
        <v>19.748402555910545</v>
      </c>
    </row>
    <row r="21" spans="1:7">
      <c r="B21" t="s">
        <v>113</v>
      </c>
      <c r="C21" s="240">
        <v>2.3014169171318102</v>
      </c>
      <c r="D21" s="240">
        <v>-3.1488841332925599</v>
      </c>
      <c r="E21" s="240">
        <v>3.4406565656565613</v>
      </c>
      <c r="F21" s="241">
        <v>14.657715390092559</v>
      </c>
      <c r="G21" s="241">
        <v>9.3417317246273956</v>
      </c>
    </row>
    <row r="22" spans="1:7">
      <c r="B22" t="s">
        <v>114</v>
      </c>
      <c r="C22" s="240">
        <v>0.51202137132679626</v>
      </c>
      <c r="D22" s="240">
        <v>3.8095238095238106</v>
      </c>
      <c r="E22" s="240">
        <v>-2.2078838592600039</v>
      </c>
      <c r="F22" s="241">
        <v>6.2989690721649483</v>
      </c>
      <c r="G22" s="241">
        <v>9.591698186402871</v>
      </c>
    </row>
    <row r="23" spans="1:7">
      <c r="B23" t="s">
        <v>115</v>
      </c>
      <c r="C23" s="240">
        <v>0.66523185286637332</v>
      </c>
      <c r="D23" s="240">
        <v>9.0218255721480904</v>
      </c>
      <c r="E23" s="240">
        <v>-6.8811800940184762</v>
      </c>
      <c r="F23" s="241">
        <v>3.9429019061711212</v>
      </c>
      <c r="G23" s="241">
        <v>20.800535923630875</v>
      </c>
    </row>
    <row r="24" spans="1:7">
      <c r="B24" t="s">
        <v>116</v>
      </c>
      <c r="C24" s="240">
        <v>8.0142626708549081</v>
      </c>
      <c r="D24" s="240">
        <v>-12.206788703891084</v>
      </c>
      <c r="E24" s="240">
        <v>3.9920368818105643</v>
      </c>
      <c r="F24" s="241">
        <v>3.2241813602015141</v>
      </c>
      <c r="G24" s="241">
        <v>57.764763299170319</v>
      </c>
    </row>
    <row r="25" spans="1:7">
      <c r="A25" s="14"/>
      <c r="B25" s="14" t="s">
        <v>117</v>
      </c>
      <c r="C25" s="242">
        <v>3.9583605578580294</v>
      </c>
      <c r="D25" s="242">
        <v>-2.4997669984446267</v>
      </c>
      <c r="E25" s="242">
        <v>-2.9966415619737736</v>
      </c>
      <c r="F25" s="243">
        <v>5.7048386732764378</v>
      </c>
      <c r="G25" s="243">
        <v>26.465642887478264</v>
      </c>
    </row>
    <row r="26" spans="1:7" ht="21.75" customHeight="1">
      <c r="A26" s="8" t="s">
        <v>118</v>
      </c>
      <c r="B26" s="8"/>
      <c r="C26" s="240"/>
      <c r="D26" s="240"/>
      <c r="E26" s="240"/>
      <c r="F26" s="244"/>
      <c r="G26" s="244"/>
    </row>
    <row r="27" spans="1:7">
      <c r="A27" s="138"/>
      <c r="B27" s="138" t="s">
        <v>119</v>
      </c>
      <c r="C27" s="236">
        <v>4.5089707271010422</v>
      </c>
      <c r="D27" s="236">
        <v>-1.4807959278111933</v>
      </c>
      <c r="E27" s="236">
        <v>-2.0573038985439149</v>
      </c>
      <c r="F27" s="237">
        <v>1.5442163821216184</v>
      </c>
      <c r="G27" s="237">
        <v>3.1737035987531872</v>
      </c>
    </row>
    <row r="28" spans="1:7">
      <c r="B28" t="s">
        <v>120</v>
      </c>
      <c r="C28" s="240">
        <v>3.5274356103023528</v>
      </c>
      <c r="D28" s="240">
        <v>1.1694122432377378</v>
      </c>
      <c r="E28" s="240">
        <v>-0.3115891044325943</v>
      </c>
      <c r="F28" s="241">
        <v>14.015000000000001</v>
      </c>
      <c r="G28" s="241">
        <v>31.69437566324725</v>
      </c>
    </row>
    <row r="29" spans="1:7">
      <c r="A29" s="138"/>
      <c r="B29" s="138" t="s">
        <v>121</v>
      </c>
      <c r="C29" s="236">
        <v>1.1855817955827468</v>
      </c>
      <c r="D29" s="236">
        <v>6.5105025844055726</v>
      </c>
      <c r="E29" s="236">
        <v>-6.0609189468249784</v>
      </c>
      <c r="F29" s="237">
        <v>27.863266652011426</v>
      </c>
      <c r="G29" s="237">
        <v>74.288661566233984</v>
      </c>
    </row>
    <row r="30" spans="1:7">
      <c r="B30" t="s">
        <v>122</v>
      </c>
      <c r="C30" s="240">
        <v>12.251326259946939</v>
      </c>
      <c r="D30" s="240">
        <v>-3.1146940271161521</v>
      </c>
      <c r="E30" s="240">
        <v>-18.53252647503783</v>
      </c>
      <c r="F30" s="241">
        <v>32.869080779944305</v>
      </c>
      <c r="G30" s="241">
        <v>59.407756813417194</v>
      </c>
    </row>
    <row r="31" spans="1:7">
      <c r="A31" s="138"/>
      <c r="B31" s="138" t="s">
        <v>123</v>
      </c>
      <c r="C31" s="236">
        <v>1.6780132323329175</v>
      </c>
      <c r="D31" s="236">
        <v>-0.13699970642920106</v>
      </c>
      <c r="E31" s="236">
        <v>0.55854973052426005</v>
      </c>
      <c r="F31" s="237">
        <v>4.3363866692652389</v>
      </c>
      <c r="G31" s="237">
        <v>19.678714859437743</v>
      </c>
    </row>
    <row r="32" spans="1:7">
      <c r="B32" t="s">
        <v>124</v>
      </c>
      <c r="C32" s="240">
        <v>0.50946842257041347</v>
      </c>
      <c r="D32" s="240">
        <v>1.1339198435972597</v>
      </c>
      <c r="E32" s="240">
        <v>0.43495070558670296</v>
      </c>
      <c r="F32" s="241">
        <v>1.1355981137522921</v>
      </c>
      <c r="G32" s="241">
        <v>1.9221619564183043</v>
      </c>
    </row>
    <row r="33" spans="1:7">
      <c r="A33" s="138"/>
      <c r="B33" s="138" t="s">
        <v>125</v>
      </c>
      <c r="C33" s="236">
        <v>-6.2172484234840918E-2</v>
      </c>
      <c r="D33" s="236">
        <v>0.27067388463692948</v>
      </c>
      <c r="E33" s="236">
        <v>8.340314623475745</v>
      </c>
      <c r="F33" s="237">
        <v>4.2271672824125801</v>
      </c>
      <c r="G33" s="237">
        <v>3.7672079795565026</v>
      </c>
    </row>
    <row r="34" spans="1:7">
      <c r="B34" t="s">
        <v>126</v>
      </c>
      <c r="C34" s="240">
        <v>1.9697263729866108</v>
      </c>
      <c r="D34" s="240">
        <v>2.0745256120342148</v>
      </c>
      <c r="E34" s="240">
        <v>-1.5122327104604059</v>
      </c>
      <c r="F34" s="241">
        <v>5.9168704156479199</v>
      </c>
      <c r="G34" s="241">
        <v>7.3680000000000003</v>
      </c>
    </row>
    <row r="35" spans="1:7">
      <c r="A35" s="14"/>
      <c r="B35" s="14" t="s">
        <v>127</v>
      </c>
      <c r="C35" s="242">
        <v>4.3886655157527175</v>
      </c>
      <c r="D35" s="242">
        <v>0.48843364833909447</v>
      </c>
      <c r="E35" s="242">
        <v>-2.6244408286219008</v>
      </c>
      <c r="F35" s="243">
        <v>14.497776142123406</v>
      </c>
      <c r="G35" s="243">
        <v>31.677782453582381</v>
      </c>
    </row>
    <row r="36" spans="1:7" ht="3.95" customHeight="1">
      <c r="C36" s="245"/>
      <c r="D36" s="245"/>
      <c r="E36" s="245"/>
      <c r="F36" s="245"/>
      <c r="G36" s="245"/>
    </row>
    <row r="37" spans="1:7" ht="30.75" customHeight="1">
      <c r="A37" s="308" t="s">
        <v>333</v>
      </c>
      <c r="B37" s="308"/>
      <c r="C37" s="308"/>
      <c r="D37" s="308"/>
      <c r="E37" s="308"/>
      <c r="F37" s="308"/>
      <c r="G37" s="308"/>
    </row>
    <row r="38" spans="1:7" ht="33.75" customHeight="1">
      <c r="A38" s="308" t="s">
        <v>314</v>
      </c>
      <c r="B38" s="308"/>
      <c r="C38" s="308"/>
      <c r="D38" s="308"/>
      <c r="E38" s="308"/>
      <c r="F38" s="308"/>
      <c r="G38" s="308"/>
    </row>
    <row r="39" spans="1:7" ht="3.95" customHeight="1"/>
    <row r="40" spans="1:7">
      <c r="A40" t="s">
        <v>313</v>
      </c>
    </row>
  </sheetData>
  <mergeCells count="3">
    <mergeCell ref="A37:G37"/>
    <mergeCell ref="A38:G38"/>
    <mergeCell ref="A2:G2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8"/>
  <dimension ref="A1:G31"/>
  <sheetViews>
    <sheetView showGridLines="0" tabSelected="1" topLeftCell="A7" workbookViewId="0">
      <selection sqref="A1:F31"/>
    </sheetView>
  </sheetViews>
  <sheetFormatPr baseColWidth="10" defaultColWidth="8.7265625" defaultRowHeight="16.5"/>
  <cols>
    <col min="1" max="1" width="12.453125" style="4" customWidth="1"/>
    <col min="2" max="2" width="9.6328125" style="4" bestFit="1" customWidth="1"/>
    <col min="3" max="3" width="10.36328125" style="4" bestFit="1" customWidth="1"/>
    <col min="4" max="4" width="8.7265625" style="4" customWidth="1"/>
    <col min="5" max="6" width="9.54296875" style="4" bestFit="1" customWidth="1"/>
    <col min="7" max="16384" width="8.7265625" style="4"/>
  </cols>
  <sheetData>
    <row r="1" spans="1:7">
      <c r="A1" s="4" t="s">
        <v>237</v>
      </c>
    </row>
    <row r="2" spans="1:7" ht="33" customHeight="1">
      <c r="A2" s="341" t="s">
        <v>157</v>
      </c>
      <c r="B2" s="341"/>
      <c r="C2" s="341"/>
      <c r="D2" s="341"/>
      <c r="E2" s="341"/>
      <c r="F2" s="341"/>
    </row>
    <row r="3" spans="1:7" ht="11.25" customHeight="1"/>
    <row r="4" spans="1:7" ht="75.75" customHeight="1">
      <c r="A4" s="14"/>
      <c r="B4" s="251" t="s">
        <v>315</v>
      </c>
      <c r="C4" s="252" t="s">
        <v>316</v>
      </c>
      <c r="D4" s="253" t="s">
        <v>128</v>
      </c>
      <c r="E4" s="252" t="s">
        <v>319</v>
      </c>
      <c r="F4" s="252" t="s">
        <v>318</v>
      </c>
      <c r="G4"/>
    </row>
    <row r="5" spans="1:7">
      <c r="A5" s="139">
        <v>1985</v>
      </c>
      <c r="B5" s="228">
        <v>100</v>
      </c>
      <c r="C5" s="228">
        <v>100</v>
      </c>
      <c r="D5" s="228">
        <v>100</v>
      </c>
      <c r="E5" s="228">
        <v>100</v>
      </c>
      <c r="F5" s="228">
        <v>100</v>
      </c>
    </row>
    <row r="6" spans="1:7">
      <c r="A6" s="193">
        <v>1990</v>
      </c>
      <c r="B6" s="227">
        <v>128.314327797289</v>
      </c>
      <c r="C6" s="227">
        <v>108.417440658304</v>
      </c>
      <c r="D6" s="227">
        <v>138.49456066945601</v>
      </c>
      <c r="E6" s="227">
        <v>118.3521092346142</v>
      </c>
      <c r="F6" s="227">
        <v>92.649362673192556</v>
      </c>
    </row>
    <row r="7" spans="1:7">
      <c r="A7" s="139">
        <v>1995</v>
      </c>
      <c r="B7" s="228">
        <v>154.21459968303776</v>
      </c>
      <c r="C7" s="228">
        <v>124.96426073919389</v>
      </c>
      <c r="D7" s="228">
        <v>178.26956965078614</v>
      </c>
      <c r="E7" s="228">
        <v>123.40696353567094</v>
      </c>
      <c r="F7" s="228">
        <v>86.50640711431015</v>
      </c>
    </row>
    <row r="8" spans="1:7">
      <c r="A8" s="193">
        <v>2000</v>
      </c>
      <c r="B8" s="227">
        <v>158.03279511323035</v>
      </c>
      <c r="C8" s="227">
        <v>140.61366998290438</v>
      </c>
      <c r="D8" s="227">
        <v>202.95858517872307</v>
      </c>
      <c r="E8" s="227">
        <v>112.3879315093929</v>
      </c>
      <c r="F8" s="227">
        <v>77.864552994429104</v>
      </c>
    </row>
    <row r="9" spans="1:7">
      <c r="A9" s="139">
        <v>2005</v>
      </c>
      <c r="B9" s="228">
        <v>162.04931015309452</v>
      </c>
      <c r="C9" s="228">
        <v>160.27700042534249</v>
      </c>
      <c r="D9" s="228">
        <v>238.12044573730512</v>
      </c>
      <c r="E9" s="228">
        <v>101.10577919667119</v>
      </c>
      <c r="F9" s="228">
        <v>68.053505297007376</v>
      </c>
    </row>
    <row r="10" spans="1:7">
      <c r="A10" s="193">
        <v>2010</v>
      </c>
      <c r="B10" s="227">
        <v>174.77709149380448</v>
      </c>
      <c r="C10" s="227">
        <v>188.53444050091011</v>
      </c>
      <c r="D10" s="227">
        <v>266.67519728694089</v>
      </c>
      <c r="E10" s="227">
        <v>92.703004835321209</v>
      </c>
      <c r="F10" s="227">
        <v>65.53931271896478</v>
      </c>
    </row>
    <row r="11" spans="1:7">
      <c r="A11" s="139">
        <v>2015</v>
      </c>
      <c r="B11" s="228">
        <v>183.57953232934821</v>
      </c>
      <c r="C11" s="228">
        <v>212.26034634406335</v>
      </c>
      <c r="D11" s="228">
        <v>284.473368765781</v>
      </c>
      <c r="E11" s="228">
        <v>86.487907652696947</v>
      </c>
      <c r="F11" s="228">
        <v>64.533117151116187</v>
      </c>
    </row>
    <row r="12" spans="1:7">
      <c r="A12" s="193">
        <v>2016</v>
      </c>
      <c r="B12" s="227">
        <v>181.51678615472841</v>
      </c>
      <c r="C12" s="227">
        <v>204.33134991255795</v>
      </c>
      <c r="D12" s="227">
        <v>283.61994865948367</v>
      </c>
      <c r="E12" s="227">
        <v>88.834525995353687</v>
      </c>
      <c r="F12" s="227">
        <v>64.000006703568957</v>
      </c>
    </row>
    <row r="13" spans="1:7">
      <c r="A13" s="139">
        <v>2017</v>
      </c>
      <c r="B13" s="228">
        <v>189.36233764256707</v>
      </c>
      <c r="C13" s="228">
        <v>206.36879253046101</v>
      </c>
      <c r="D13" s="228">
        <v>289.5759675813328</v>
      </c>
      <c r="E13" s="228">
        <v>91.759192521619426</v>
      </c>
      <c r="F13" s="228">
        <v>65.392974156041149</v>
      </c>
    </row>
    <row r="14" spans="1:7">
      <c r="A14" s="193">
        <v>2018</v>
      </c>
      <c r="B14" s="227">
        <v>196.85798172724841</v>
      </c>
      <c r="C14" s="227">
        <v>215.42562856352063</v>
      </c>
      <c r="D14" s="227">
        <v>294.49875903021547</v>
      </c>
      <c r="E14" s="227">
        <v>91.380948051500127</v>
      </c>
      <c r="F14" s="227">
        <v>66.845097200240104</v>
      </c>
    </row>
    <row r="15" spans="1:7">
      <c r="A15" s="139">
        <v>2019</v>
      </c>
      <c r="B15" s="228">
        <v>191.93699086622652</v>
      </c>
      <c r="C15" s="228">
        <v>216.47783982057089</v>
      </c>
      <c r="D15" s="228">
        <v>296.26575158439675</v>
      </c>
      <c r="E15" s="228">
        <v>88.663574537382104</v>
      </c>
      <c r="F15" s="228">
        <v>64.785413042097687</v>
      </c>
    </row>
    <row r="16" spans="1:7">
      <c r="A16" s="193">
        <v>2020</v>
      </c>
      <c r="B16" s="227">
        <v>186.18532722512737</v>
      </c>
      <c r="C16" s="227">
        <v>210.79650700740112</v>
      </c>
      <c r="D16" s="227">
        <v>295.37695432964358</v>
      </c>
      <c r="E16" s="227">
        <v>88.324673813779256</v>
      </c>
      <c r="F16" s="227">
        <v>63.03312580620041</v>
      </c>
    </row>
    <row r="17" spans="1:6">
      <c r="A17" s="139">
        <v>2021</v>
      </c>
      <c r="B17" s="228">
        <f>+B16*1.05704838673276</f>
        <v>196.80689977663189</v>
      </c>
      <c r="C17" s="228">
        <f>+C16*1.14497776142123</f>
        <v>241.35731270874874</v>
      </c>
      <c r="D17" s="228">
        <v>305.73210057615808</v>
      </c>
      <c r="E17" s="228">
        <f>+B17*100/C17</f>
        <v>81.541718196922091</v>
      </c>
      <c r="F17" s="228">
        <f>+B17*100/D17</f>
        <v>64.372337548378297</v>
      </c>
    </row>
    <row r="18" spans="1:6">
      <c r="A18" s="193">
        <v>2022</v>
      </c>
      <c r="B18" s="248">
        <f>+B17*1.26465642887478</f>
        <v>248.89311104943201</v>
      </c>
      <c r="C18" s="248">
        <f>+C17*1.31677782453582</f>
        <v>317.81395716443774</v>
      </c>
      <c r="D18" s="248">
        <v>333.36722514723698</v>
      </c>
      <c r="E18" s="249">
        <f>+B18*100/C18</f>
        <v>78.314090819068113</v>
      </c>
      <c r="F18" s="249">
        <f>+B18*100/D18</f>
        <v>74.660342191558982</v>
      </c>
    </row>
    <row r="19" spans="1:6" ht="2.1" customHeight="1">
      <c r="A19" s="14"/>
      <c r="B19" s="130"/>
      <c r="C19" s="130"/>
      <c r="D19" s="130"/>
      <c r="E19" s="130"/>
      <c r="F19" s="130"/>
    </row>
    <row r="20" spans="1:6">
      <c r="A20" s="246" t="s">
        <v>15</v>
      </c>
      <c r="B20" s="227"/>
      <c r="C20" s="227"/>
      <c r="D20" s="227"/>
      <c r="E20" s="227"/>
      <c r="F20" s="227"/>
    </row>
    <row r="21" spans="1:6">
      <c r="A21" s="139" t="s">
        <v>162</v>
      </c>
      <c r="B21" s="228">
        <v>-2.4997669984446178</v>
      </c>
      <c r="C21" s="228">
        <v>0.4884336483391083</v>
      </c>
      <c r="D21" s="228">
        <v>0.59999999999999765</v>
      </c>
      <c r="E21" s="228">
        <v>-2.9736762115737472</v>
      </c>
      <c r="F21" s="228">
        <v>-3.0812793225095629</v>
      </c>
    </row>
    <row r="22" spans="1:6">
      <c r="A22" s="183" t="s">
        <v>163</v>
      </c>
      <c r="B22" s="250">
        <v>-2.9966415619737772</v>
      </c>
      <c r="C22" s="250">
        <v>-2.6244408286218972</v>
      </c>
      <c r="D22" s="250">
        <v>-0.29999999999999377</v>
      </c>
      <c r="E22" s="250">
        <v>-0.38223219103349054</v>
      </c>
      <c r="F22" s="250">
        <v>-2.704755829462163</v>
      </c>
    </row>
    <row r="23" spans="1:6">
      <c r="A23" s="139" t="s">
        <v>246</v>
      </c>
      <c r="B23" s="228">
        <f>+(B17-B16)*100/B16</f>
        <v>5.7048386732759964</v>
      </c>
      <c r="C23" s="228">
        <f t="shared" ref="C23:F23" si="0">+(C17-C16)*100/C16</f>
        <v>14.497776142122991</v>
      </c>
      <c r="D23" s="228">
        <f t="shared" si="0"/>
        <v>3.5057393932493626</v>
      </c>
      <c r="E23" s="228">
        <f t="shared" si="0"/>
        <v>-7.6795705253982813</v>
      </c>
      <c r="F23" s="228">
        <f t="shared" si="0"/>
        <v>2.1246157874121372</v>
      </c>
    </row>
    <row r="24" spans="1:6" ht="17.25" customHeight="1">
      <c r="A24" s="183" t="s">
        <v>247</v>
      </c>
      <c r="B24" s="249">
        <f>+(B18-B17)*100/B17</f>
        <v>26.465642887477987</v>
      </c>
      <c r="C24" s="249">
        <f t="shared" ref="C24:F24" si="1">+(C18-C17)*100/C17</f>
        <v>31.677782453581983</v>
      </c>
      <c r="D24" s="249">
        <f t="shared" si="1"/>
        <v>9.0389999999999926</v>
      </c>
      <c r="E24" s="249">
        <f t="shared" si="1"/>
        <v>-3.9582528418880054</v>
      </c>
      <c r="F24" s="249">
        <f t="shared" si="1"/>
        <v>15.982027428239423</v>
      </c>
    </row>
    <row r="25" spans="1:6" ht="2.1" customHeight="1">
      <c r="A25" s="141"/>
      <c r="B25" s="247"/>
      <c r="C25" s="247"/>
      <c r="D25" s="247"/>
      <c r="E25" s="247"/>
      <c r="F25" s="247"/>
    </row>
    <row r="26" spans="1:6" ht="3.95" customHeight="1"/>
    <row r="27" spans="1:6" ht="72" customHeight="1">
      <c r="A27" s="337" t="s">
        <v>320</v>
      </c>
      <c r="B27" s="338"/>
      <c r="C27" s="338"/>
      <c r="D27" s="338"/>
      <c r="E27" s="338"/>
      <c r="F27" s="338"/>
    </row>
    <row r="28" spans="1:6" ht="3.95" customHeight="1"/>
    <row r="29" spans="1:6">
      <c r="A29" s="4" t="s">
        <v>18</v>
      </c>
    </row>
    <row r="30" spans="1:6">
      <c r="A30" s="4" t="s">
        <v>317</v>
      </c>
    </row>
    <row r="31" spans="1:6">
      <c r="A31" s="4" t="s">
        <v>129</v>
      </c>
    </row>
  </sheetData>
  <mergeCells count="2">
    <mergeCell ref="A27:F27"/>
    <mergeCell ref="A2:F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9"/>
  <dimension ref="A1:D26"/>
  <sheetViews>
    <sheetView showGridLines="0" workbookViewId="0">
      <selection sqref="A1:D26"/>
    </sheetView>
  </sheetViews>
  <sheetFormatPr baseColWidth="10" defaultColWidth="19.08984375" defaultRowHeight="16.5"/>
  <cols>
    <col min="2" max="4" width="13.6328125" customWidth="1"/>
  </cols>
  <sheetData>
    <row r="1" spans="1:4">
      <c r="A1" t="s">
        <v>238</v>
      </c>
    </row>
    <row r="2" spans="1:4" ht="32.25" customHeight="1">
      <c r="A2" s="340" t="s">
        <v>322</v>
      </c>
      <c r="B2" s="340"/>
      <c r="C2" s="340"/>
      <c r="D2" s="340"/>
    </row>
    <row r="3" spans="1:4" ht="12.75" customHeight="1"/>
    <row r="4" spans="1:4">
      <c r="A4" s="40"/>
      <c r="B4" s="309" t="s">
        <v>222</v>
      </c>
      <c r="C4" s="310"/>
      <c r="D4" s="310"/>
    </row>
    <row r="5" spans="1:4" ht="34.5" customHeight="1">
      <c r="A5" s="40"/>
      <c r="B5" s="136" t="s">
        <v>141</v>
      </c>
      <c r="C5" s="16" t="s">
        <v>130</v>
      </c>
      <c r="D5" s="32" t="s">
        <v>142</v>
      </c>
    </row>
    <row r="6" spans="1:4">
      <c r="A6" s="254" t="s">
        <v>47</v>
      </c>
      <c r="B6" s="267">
        <v>0.88072555650426065</v>
      </c>
      <c r="C6" s="261">
        <v>39.41622441243365</v>
      </c>
      <c r="D6" s="261">
        <f>(((1+B6/100)*(1+C6/100))-1)*100</f>
        <v>40.644098730747281</v>
      </c>
    </row>
    <row r="7" spans="1:4">
      <c r="A7" s="254" t="s">
        <v>49</v>
      </c>
      <c r="B7" s="267">
        <v>30.733508222771679</v>
      </c>
      <c r="C7" s="261">
        <v>42.291648176089453</v>
      </c>
      <c r="D7" s="261">
        <f t="shared" ref="D7:D12" si="0">(((1+B7/100)*(1+C7/100))-1)*100</f>
        <v>86.022863568605274</v>
      </c>
    </row>
    <row r="8" spans="1:4">
      <c r="A8" s="254" t="s">
        <v>131</v>
      </c>
      <c r="B8" s="267">
        <v>17.530184136222704</v>
      </c>
      <c r="C8" s="261">
        <v>11.794063567113225</v>
      </c>
      <c r="D8" s="261">
        <f t="shared" si="0"/>
        <v>31.391768763794058</v>
      </c>
    </row>
    <row r="9" spans="1:4">
      <c r="A9" s="254" t="s">
        <v>132</v>
      </c>
      <c r="B9" s="267">
        <v>13.90856047022603</v>
      </c>
      <c r="C9" s="261">
        <v>21.557353084494693</v>
      </c>
      <c r="D9" s="261">
        <f t="shared" si="0"/>
        <v>38.464231044257801</v>
      </c>
    </row>
    <row r="10" spans="1:4">
      <c r="A10" s="254" t="s">
        <v>133</v>
      </c>
      <c r="B10" s="267">
        <v>21</v>
      </c>
      <c r="C10" s="261">
        <v>10.624169986719785</v>
      </c>
      <c r="D10" s="261">
        <f t="shared" si="0"/>
        <v>33.855245683930924</v>
      </c>
    </row>
    <row r="11" spans="1:4">
      <c r="A11" s="254" t="s">
        <v>134</v>
      </c>
      <c r="B11" s="267">
        <v>-2.9582294524567279</v>
      </c>
      <c r="C11" s="261">
        <v>55.433329906445977</v>
      </c>
      <c r="D11" s="261">
        <f t="shared" si="0"/>
        <v>50.835255362219243</v>
      </c>
    </row>
    <row r="12" spans="1:4">
      <c r="A12" s="255" t="s">
        <v>46</v>
      </c>
      <c r="B12" s="268">
        <v>17.314755406369109</v>
      </c>
      <c r="C12" s="262">
        <v>23.292854770860384</v>
      </c>
      <c r="D12" s="262">
        <f t="shared" si="0"/>
        <v>44.64071100796474</v>
      </c>
    </row>
    <row r="13" spans="1:4">
      <c r="A13" s="256" t="s">
        <v>53</v>
      </c>
      <c r="B13" s="269">
        <v>-0.56999999999999829</v>
      </c>
      <c r="C13" s="263">
        <v>29.266691672918224</v>
      </c>
      <c r="D13" s="263">
        <f>(((1+B13/100)*(1+C13/100))-1)*100</f>
        <v>28.529871530382579</v>
      </c>
    </row>
    <row r="14" spans="1:4">
      <c r="A14" s="256" t="s">
        <v>135</v>
      </c>
      <c r="B14" s="269">
        <v>-3.4927346355407249</v>
      </c>
      <c r="C14" s="263">
        <v>29.004329004328994</v>
      </c>
      <c r="D14" s="263">
        <f t="shared" ref="D14:D22" si="1">(((1+B14/100)*(1+C14/100))-1)*100</f>
        <v>24.498550123847874</v>
      </c>
    </row>
    <row r="15" spans="1:4">
      <c r="A15" s="256" t="s">
        <v>136</v>
      </c>
      <c r="B15" s="269">
        <v>-4.2795085861671094</v>
      </c>
      <c r="C15" s="263">
        <v>22.141782625047007</v>
      </c>
      <c r="D15" s="263">
        <f t="shared" si="1"/>
        <v>16.914714550310549</v>
      </c>
    </row>
    <row r="16" spans="1:4">
      <c r="A16" s="256" t="s">
        <v>137</v>
      </c>
      <c r="B16" s="269">
        <v>-3.4369735168956583</v>
      </c>
      <c r="C16" s="263">
        <v>19.748402555910545</v>
      </c>
      <c r="D16" s="263">
        <f t="shared" si="1"/>
        <v>15.632681673158299</v>
      </c>
    </row>
    <row r="17" spans="1:4">
      <c r="A17" s="256" t="s">
        <v>138</v>
      </c>
      <c r="B17" s="269">
        <v>20.766773162939298</v>
      </c>
      <c r="C17" s="263">
        <v>9.3417317246273956</v>
      </c>
      <c r="D17" s="263">
        <f t="shared" si="1"/>
        <v>32.048481124310399</v>
      </c>
    </row>
    <row r="18" spans="1:4">
      <c r="A18" s="256" t="s">
        <v>139</v>
      </c>
      <c r="B18" s="269">
        <v>35.555555555555557</v>
      </c>
      <c r="C18" s="263">
        <v>9.591698186402871</v>
      </c>
      <c r="D18" s="263">
        <f t="shared" si="1"/>
        <v>48.557635319346119</v>
      </c>
    </row>
    <row r="19" spans="1:4">
      <c r="A19" s="256" t="s">
        <v>239</v>
      </c>
      <c r="B19" s="269">
        <v>-10.9</v>
      </c>
      <c r="C19" s="263">
        <v>20.800535923630875</v>
      </c>
      <c r="D19" s="263">
        <f t="shared" si="1"/>
        <v>7.6332775079551052</v>
      </c>
    </row>
    <row r="20" spans="1:4">
      <c r="A20" s="256" t="s">
        <v>240</v>
      </c>
      <c r="B20" s="269">
        <v>-8.9</v>
      </c>
      <c r="C20" s="263">
        <v>57.764763299170319</v>
      </c>
      <c r="D20" s="263">
        <f t="shared" si="1"/>
        <v>43.723699365544164</v>
      </c>
    </row>
    <row r="21" spans="1:4">
      <c r="A21" s="257" t="s">
        <v>52</v>
      </c>
      <c r="B21" s="270">
        <v>-2.3408694098780884</v>
      </c>
      <c r="C21" s="264">
        <v>28.095233323501446</v>
      </c>
      <c r="D21" s="264">
        <f t="shared" si="1"/>
        <v>25.096691191119636</v>
      </c>
    </row>
    <row r="22" spans="1:4">
      <c r="A22" s="40" t="s">
        <v>140</v>
      </c>
      <c r="B22" s="271">
        <v>4.0006728286488666</v>
      </c>
      <c r="C22" s="265">
        <v>26.465642887478264</v>
      </c>
      <c r="D22" s="266">
        <f t="shared" si="1"/>
        <v>31.525119500053698</v>
      </c>
    </row>
    <row r="23" spans="1:4" ht="3.95" customHeight="1"/>
    <row r="24" spans="1:4" ht="60.75" customHeight="1">
      <c r="A24" s="308" t="s">
        <v>321</v>
      </c>
      <c r="B24" s="308"/>
      <c r="C24" s="308"/>
      <c r="D24" s="308"/>
    </row>
    <row r="25" spans="1:4" ht="3.95" customHeight="1">
      <c r="A25" s="132"/>
    </row>
    <row r="26" spans="1:4">
      <c r="A26" t="s">
        <v>241</v>
      </c>
      <c r="B26" s="258"/>
      <c r="C26" s="258"/>
      <c r="D26" s="258"/>
    </row>
  </sheetData>
  <mergeCells count="3">
    <mergeCell ref="B4:D4"/>
    <mergeCell ref="A24:D24"/>
    <mergeCell ref="A2:D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20"/>
  <dimension ref="A1:E35"/>
  <sheetViews>
    <sheetView showGridLines="0" topLeftCell="A10" workbookViewId="0">
      <selection sqref="A1:E35"/>
    </sheetView>
  </sheetViews>
  <sheetFormatPr baseColWidth="10" defaultColWidth="10.90625" defaultRowHeight="16.5"/>
  <cols>
    <col min="1" max="1" width="19.81640625" customWidth="1"/>
    <col min="2" max="5" width="10.1796875" customWidth="1"/>
  </cols>
  <sheetData>
    <row r="1" spans="1:5">
      <c r="A1" t="s">
        <v>242</v>
      </c>
    </row>
    <row r="2" spans="1:5">
      <c r="A2" s="8" t="s">
        <v>149</v>
      </c>
    </row>
    <row r="3" spans="1:5">
      <c r="A3" t="s">
        <v>150</v>
      </c>
    </row>
    <row r="4" spans="1:5" ht="10.5" customHeight="1"/>
    <row r="5" spans="1:5">
      <c r="B5" s="309" t="s">
        <v>2</v>
      </c>
      <c r="C5" s="310"/>
      <c r="D5" s="309" t="s">
        <v>3</v>
      </c>
      <c r="E5" s="310"/>
    </row>
    <row r="6" spans="1:5" ht="41.25" customHeight="1">
      <c r="A6" s="14"/>
      <c r="B6" s="275" t="s">
        <v>143</v>
      </c>
      <c r="C6" s="29" t="s">
        <v>144</v>
      </c>
      <c r="D6" s="275" t="s">
        <v>143</v>
      </c>
      <c r="E6" s="29" t="s">
        <v>144</v>
      </c>
    </row>
    <row r="7" spans="1:5">
      <c r="A7" s="139">
        <v>1985</v>
      </c>
      <c r="B7" s="217">
        <v>415.108336928857</v>
      </c>
      <c r="C7" s="195">
        <v>100</v>
      </c>
      <c r="D7" s="217">
        <v>1829.6</v>
      </c>
      <c r="E7" s="206">
        <v>100</v>
      </c>
    </row>
    <row r="8" spans="1:5">
      <c r="A8" s="183">
        <v>1995</v>
      </c>
      <c r="B8" s="274">
        <v>223.85</v>
      </c>
      <c r="C8" s="259">
        <v>53.925681583784801</v>
      </c>
      <c r="D8" s="274">
        <v>1040.0999999999999</v>
      </c>
      <c r="E8" s="260">
        <v>56.848491473546126</v>
      </c>
    </row>
    <row r="9" spans="1:5">
      <c r="A9" s="139">
        <v>2008</v>
      </c>
      <c r="B9" s="217">
        <v>69.8</v>
      </c>
      <c r="C9" s="195">
        <v>16.814887534278217</v>
      </c>
      <c r="D9" s="217">
        <v>779.4</v>
      </c>
      <c r="E9" s="206">
        <v>42.145824223874072</v>
      </c>
    </row>
    <row r="10" spans="1:5">
      <c r="A10" s="183">
        <v>2009</v>
      </c>
      <c r="B10" s="274">
        <v>66.95</v>
      </c>
      <c r="C10" s="259">
        <v>16.12831977678978</v>
      </c>
      <c r="D10" s="274">
        <v>745.5</v>
      </c>
      <c r="E10" s="260">
        <v>40.640030607783125</v>
      </c>
    </row>
    <row r="11" spans="1:5">
      <c r="A11" s="139">
        <v>2010</v>
      </c>
      <c r="B11" s="217">
        <v>66.025000000000006</v>
      </c>
      <c r="C11" s="195">
        <v>15.905486381815466</v>
      </c>
      <c r="D11" s="217">
        <v>749.1</v>
      </c>
      <c r="E11" s="206">
        <v>41.282247485789249</v>
      </c>
    </row>
    <row r="12" spans="1:5">
      <c r="A12" s="183">
        <v>2011</v>
      </c>
      <c r="B12" s="274">
        <v>64.8</v>
      </c>
      <c r="C12" s="259">
        <v>15.610382696579205</v>
      </c>
      <c r="D12" s="274">
        <v>721.3</v>
      </c>
      <c r="E12" s="260">
        <v>39.67533887188457</v>
      </c>
    </row>
    <row r="13" spans="1:5">
      <c r="A13" s="139">
        <v>2012</v>
      </c>
      <c r="B13" s="217">
        <v>59.3</v>
      </c>
      <c r="C13" s="195">
        <v>14.285427375110292</v>
      </c>
      <c r="D13" s="217">
        <v>703.5</v>
      </c>
      <c r="E13" s="206">
        <v>38.959335373852213</v>
      </c>
    </row>
    <row r="14" spans="1:5">
      <c r="A14" s="183">
        <v>2013</v>
      </c>
      <c r="B14" s="274">
        <v>56.3</v>
      </c>
      <c r="C14" s="259">
        <v>13.562724472490883</v>
      </c>
      <c r="D14" s="274">
        <v>699.3</v>
      </c>
      <c r="E14" s="260">
        <v>38.691517271534764</v>
      </c>
    </row>
    <row r="15" spans="1:5">
      <c r="A15" s="139">
        <v>2014</v>
      </c>
      <c r="B15" s="217">
        <v>49.1</v>
      </c>
      <c r="C15" s="195">
        <v>11.828237506204305</v>
      </c>
      <c r="D15" s="217">
        <v>702.4</v>
      </c>
      <c r="E15" s="206">
        <v>38.390905115872322</v>
      </c>
    </row>
    <row r="16" spans="1:5">
      <c r="A16" s="183">
        <v>2015</v>
      </c>
      <c r="B16" s="274">
        <v>45.6</v>
      </c>
      <c r="C16" s="259">
        <v>10.985084119814996</v>
      </c>
      <c r="D16" s="274">
        <v>705</v>
      </c>
      <c r="E16" s="260">
        <v>38.533012680367293</v>
      </c>
    </row>
    <row r="17" spans="1:5">
      <c r="A17" s="139">
        <v>2016</v>
      </c>
      <c r="B17" s="217">
        <v>49.2</v>
      </c>
      <c r="C17" s="195">
        <v>11.852327602958285</v>
      </c>
      <c r="D17" s="217">
        <v>738</v>
      </c>
      <c r="E17" s="206">
        <v>40.336685614341931</v>
      </c>
    </row>
    <row r="18" spans="1:5">
      <c r="A18" s="183">
        <v>2017</v>
      </c>
      <c r="B18" s="274">
        <v>55.4</v>
      </c>
      <c r="C18" s="259">
        <v>13.34591360170506</v>
      </c>
      <c r="D18" s="274">
        <v>778.82499999999993</v>
      </c>
      <c r="E18" s="260">
        <v>42.568047660690866</v>
      </c>
    </row>
    <row r="19" spans="1:5">
      <c r="A19" s="139">
        <v>2018</v>
      </c>
      <c r="B19" s="217">
        <v>52.3</v>
      </c>
      <c r="C19" s="195">
        <v>12.599120602331674</v>
      </c>
      <c r="D19" s="217">
        <v>772.9</v>
      </c>
      <c r="E19" s="206">
        <v>42.244206383909052</v>
      </c>
    </row>
    <row r="20" spans="1:5">
      <c r="A20" s="183">
        <v>2019</v>
      </c>
      <c r="B20" s="274">
        <v>49.9</v>
      </c>
      <c r="C20" s="259">
        <v>12.020958280236147</v>
      </c>
      <c r="D20" s="274">
        <v>758.09999999999991</v>
      </c>
      <c r="E20" s="260">
        <v>41.43528640139921</v>
      </c>
    </row>
    <row r="21" spans="1:5">
      <c r="A21" s="139">
        <v>2020</v>
      </c>
      <c r="B21" s="217">
        <v>49.4</v>
      </c>
      <c r="C21" s="195">
        <v>11.900507796466245</v>
      </c>
      <c r="D21" s="217">
        <v>723.84999999999991</v>
      </c>
      <c r="E21" s="206">
        <v>39.563292522955834</v>
      </c>
    </row>
    <row r="22" spans="1:5">
      <c r="A22" s="183">
        <v>2021</v>
      </c>
      <c r="B22" s="274">
        <v>47.1</v>
      </c>
      <c r="C22" s="259">
        <f>B22*100/B7</f>
        <v>11.346435571124701</v>
      </c>
      <c r="D22" s="274">
        <v>767.5</v>
      </c>
      <c r="E22" s="260">
        <f>D22*100/D7</f>
        <v>41.949059903804113</v>
      </c>
    </row>
    <row r="23" spans="1:5">
      <c r="A23" s="139">
        <v>2022</v>
      </c>
      <c r="B23" s="217">
        <v>47.4</v>
      </c>
      <c r="C23" s="195">
        <f>B23*100/B7</f>
        <v>11.418705861386641</v>
      </c>
      <c r="D23" s="217">
        <v>737.9</v>
      </c>
      <c r="E23" s="206">
        <f>D23*100/D7</f>
        <v>40.331219938784436</v>
      </c>
    </row>
    <row r="24" spans="1:5" ht="2.1" customHeight="1">
      <c r="A24" s="14"/>
      <c r="B24" s="177"/>
      <c r="C24" s="177"/>
      <c r="D24" s="177"/>
      <c r="E24" s="177"/>
    </row>
    <row r="25" spans="1:5" ht="35.25" customHeight="1">
      <c r="A25" s="340" t="s">
        <v>148</v>
      </c>
      <c r="B25" s="340"/>
      <c r="C25" s="272"/>
      <c r="D25" s="272"/>
      <c r="E25" s="272"/>
    </row>
    <row r="26" spans="1:5">
      <c r="A26" s="138" t="s">
        <v>145</v>
      </c>
      <c r="B26" s="344">
        <v>-5.9888069147124634</v>
      </c>
      <c r="C26" s="345"/>
      <c r="D26" s="344">
        <v>-5.4912771195387178</v>
      </c>
      <c r="E26" s="345"/>
    </row>
    <row r="27" spans="1:5">
      <c r="A27" t="s">
        <v>146</v>
      </c>
      <c r="B27" s="342">
        <v>-8.5741299782194584</v>
      </c>
      <c r="C27" s="343"/>
      <c r="D27" s="342">
        <v>-2.1951462321146975</v>
      </c>
      <c r="E27" s="343"/>
    </row>
    <row r="28" spans="1:5">
      <c r="A28" s="138" t="s">
        <v>147</v>
      </c>
      <c r="B28" s="344">
        <v>-5.9005554232167245</v>
      </c>
      <c r="C28" s="345"/>
      <c r="D28" s="344">
        <v>-1.4230150529954799</v>
      </c>
      <c r="E28" s="345"/>
    </row>
    <row r="29" spans="1:5">
      <c r="A29" t="s">
        <v>164</v>
      </c>
      <c r="B29" s="342">
        <v>10.223059325249828</v>
      </c>
      <c r="C29" s="343"/>
      <c r="D29" s="342">
        <v>5.105485682562616</v>
      </c>
      <c r="E29" s="343"/>
    </row>
    <row r="30" spans="1:5">
      <c r="A30" s="138" t="s">
        <v>212</v>
      </c>
      <c r="B30" s="344">
        <f>(((B23/B18)^(1/5))-1)*100</f>
        <v>-3.0710037560219727</v>
      </c>
      <c r="C30" s="345"/>
      <c r="D30" s="344">
        <f>(((D23/D18)^(1/5))-1)*100</f>
        <v>-1.0737548430367672</v>
      </c>
      <c r="E30" s="345"/>
    </row>
    <row r="31" spans="1:5">
      <c r="A31" t="s">
        <v>213</v>
      </c>
      <c r="B31" s="342">
        <f>(((B23/B9)^(1/14))-1)*100</f>
        <v>-2.7265108178665343</v>
      </c>
      <c r="C31" s="343"/>
      <c r="D31" s="342">
        <f>(((D23/D9)^(1/14))-1)*100</f>
        <v>-0.3900663915089142</v>
      </c>
      <c r="E31" s="343"/>
    </row>
    <row r="32" spans="1:5" ht="3.95" customHeight="1">
      <c r="A32" s="14"/>
      <c r="B32" s="273"/>
      <c r="C32" s="273"/>
      <c r="D32" s="273"/>
      <c r="E32" s="273"/>
    </row>
    <row r="33" spans="1:5" ht="3.95" customHeight="1">
      <c r="B33" s="272"/>
      <c r="C33" s="272"/>
      <c r="D33" s="272"/>
      <c r="E33" s="272"/>
    </row>
    <row r="34" spans="1:5" ht="3.95" customHeight="1">
      <c r="B34" s="272"/>
      <c r="C34" s="272"/>
      <c r="D34" s="272"/>
      <c r="E34" s="272"/>
    </row>
    <row r="35" spans="1:5">
      <c r="A35" t="s">
        <v>323</v>
      </c>
    </row>
  </sheetData>
  <mergeCells count="15">
    <mergeCell ref="B31:C31"/>
    <mergeCell ref="D31:E31"/>
    <mergeCell ref="D5:E5"/>
    <mergeCell ref="B5:C5"/>
    <mergeCell ref="A25:B25"/>
    <mergeCell ref="B26:C26"/>
    <mergeCell ref="B27:C27"/>
    <mergeCell ref="B28:C28"/>
    <mergeCell ref="B29:C29"/>
    <mergeCell ref="B30:C30"/>
    <mergeCell ref="D26:E26"/>
    <mergeCell ref="D27:E27"/>
    <mergeCell ref="D28:E28"/>
    <mergeCell ref="D29:E29"/>
    <mergeCell ref="D30:E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12BEF-9BCC-4BDC-A373-741924A057D4}">
  <sheetPr codeName="Hoja3"/>
  <dimension ref="A1:F7"/>
  <sheetViews>
    <sheetView showGridLines="0" workbookViewId="0">
      <selection sqref="A1:F7"/>
    </sheetView>
  </sheetViews>
  <sheetFormatPr baseColWidth="10" defaultColWidth="11.1796875" defaultRowHeight="16.5"/>
  <cols>
    <col min="1" max="1" width="17.7265625" style="27" customWidth="1"/>
    <col min="2" max="6" width="8.6328125" style="27" customWidth="1"/>
    <col min="7" max="16384" width="11.1796875" style="27"/>
  </cols>
  <sheetData>
    <row r="1" spans="1:6">
      <c r="A1" s="25" t="s">
        <v>13</v>
      </c>
      <c r="B1" s="26"/>
    </row>
    <row r="2" spans="1:6">
      <c r="A2" s="28" t="s">
        <v>261</v>
      </c>
      <c r="B2" s="26"/>
    </row>
    <row r="4" spans="1:6">
      <c r="A4" s="29"/>
      <c r="B4" s="29">
        <v>1982</v>
      </c>
      <c r="C4" s="29">
        <v>1989</v>
      </c>
      <c r="D4" s="29">
        <v>1999</v>
      </c>
      <c r="E4" s="29">
        <v>2009</v>
      </c>
      <c r="F4" s="29">
        <v>2020</v>
      </c>
    </row>
    <row r="5" spans="1:6">
      <c r="A5" s="1" t="s">
        <v>232</v>
      </c>
      <c r="B5" s="2">
        <v>2.643062521426133</v>
      </c>
      <c r="C5" s="2">
        <v>3.6526563689381839</v>
      </c>
      <c r="D5" s="2">
        <v>5.5523379410571918</v>
      </c>
      <c r="E5" s="2">
        <v>7.9779045014413432</v>
      </c>
      <c r="F5" s="2">
        <v>7.9255808405455195</v>
      </c>
    </row>
    <row r="6" spans="1:6" ht="9" customHeight="1"/>
    <row r="7" spans="1:6" ht="30.75" customHeight="1">
      <c r="A7" s="308" t="s">
        <v>256</v>
      </c>
      <c r="B7" s="308"/>
      <c r="C7" s="308"/>
      <c r="D7" s="308"/>
      <c r="E7" s="308"/>
      <c r="F7" s="308"/>
    </row>
  </sheetData>
  <mergeCells count="1">
    <mergeCell ref="A7:F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21">
    <pageSetUpPr fitToPage="1"/>
  </sheetPr>
  <dimension ref="A1:J23"/>
  <sheetViews>
    <sheetView showGridLines="0" workbookViewId="0">
      <selection sqref="A1:J23"/>
    </sheetView>
  </sheetViews>
  <sheetFormatPr baseColWidth="10" defaultColWidth="10.90625" defaultRowHeight="16.5"/>
  <cols>
    <col min="1" max="1" width="2.26953125" customWidth="1"/>
    <col min="2" max="2" width="17.90625" customWidth="1"/>
    <col min="3" max="10" width="10.36328125" customWidth="1"/>
  </cols>
  <sheetData>
    <row r="1" spans="1:10">
      <c r="A1" t="s">
        <v>243</v>
      </c>
    </row>
    <row r="2" spans="1:10">
      <c r="A2" s="8" t="s">
        <v>324</v>
      </c>
    </row>
    <row r="3" spans="1:10" ht="7.5" customHeight="1"/>
    <row r="4" spans="1:10">
      <c r="A4" s="10"/>
      <c r="B4" s="10"/>
      <c r="C4" s="10">
        <v>1987</v>
      </c>
      <c r="D4" s="10">
        <v>1995</v>
      </c>
      <c r="E4" s="10">
        <v>2000</v>
      </c>
      <c r="F4" s="10">
        <v>2010</v>
      </c>
      <c r="G4" s="10">
        <v>2015</v>
      </c>
      <c r="H4" s="10">
        <v>2020</v>
      </c>
      <c r="I4" s="10">
        <v>2021</v>
      </c>
      <c r="J4" s="10">
        <v>2022</v>
      </c>
    </row>
    <row r="5" spans="1:10" ht="20.100000000000001" customHeight="1">
      <c r="A5" s="8" t="s">
        <v>152</v>
      </c>
    </row>
    <row r="6" spans="1:10">
      <c r="A6" s="138"/>
      <c r="B6" s="138" t="s">
        <v>151</v>
      </c>
      <c r="C6" s="278">
        <f>C7+C8</f>
        <v>704.54700000000003</v>
      </c>
      <c r="D6" s="278">
        <f t="shared" ref="D6:H6" si="0">D7+D8</f>
        <v>624.77800000000002</v>
      </c>
      <c r="E6" s="278">
        <f t="shared" si="0"/>
        <v>666.452</v>
      </c>
      <c r="F6" s="278">
        <f t="shared" si="0"/>
        <v>570.10599999999999</v>
      </c>
      <c r="G6" s="278">
        <f t="shared" si="0"/>
        <v>557.64300000000003</v>
      </c>
      <c r="H6" s="278">
        <f t="shared" si="0"/>
        <v>546.10300000000007</v>
      </c>
      <c r="I6" s="278">
        <f>I7+I8</f>
        <v>540.27</v>
      </c>
      <c r="J6" s="278">
        <f>J7+J8</f>
        <v>538.84799999999996</v>
      </c>
    </row>
    <row r="7" spans="1:10">
      <c r="A7" s="138"/>
      <c r="B7" s="138" t="s">
        <v>160</v>
      </c>
      <c r="C7" s="278">
        <v>602.60599999999999</v>
      </c>
      <c r="D7" s="278">
        <v>445.98899999999998</v>
      </c>
      <c r="E7" s="278">
        <v>432.31400000000002</v>
      </c>
      <c r="F7" s="278">
        <v>350.26599999999996</v>
      </c>
      <c r="G7" s="278">
        <v>360.29399999999998</v>
      </c>
      <c r="H7" s="278">
        <v>339.976</v>
      </c>
      <c r="I7" s="278">
        <v>336.71800000000002</v>
      </c>
      <c r="J7" s="278">
        <v>334.26400000000001</v>
      </c>
    </row>
    <row r="8" spans="1:10">
      <c r="A8" s="138"/>
      <c r="B8" s="138" t="s">
        <v>159</v>
      </c>
      <c r="C8" s="278">
        <v>101.941</v>
      </c>
      <c r="D8" s="278">
        <v>178.78899999999999</v>
      </c>
      <c r="E8" s="278">
        <v>234.13800000000001</v>
      </c>
      <c r="F8" s="278">
        <v>219.84</v>
      </c>
      <c r="G8" s="278">
        <v>197.34899999999999</v>
      </c>
      <c r="H8" s="278">
        <v>206.12700000000001</v>
      </c>
      <c r="I8" s="278">
        <v>203.55199999999999</v>
      </c>
      <c r="J8" s="278">
        <v>204.584</v>
      </c>
    </row>
    <row r="9" spans="1:10">
      <c r="A9" s="14"/>
      <c r="B9" s="14" t="s">
        <v>158</v>
      </c>
      <c r="C9" s="279">
        <v>980.05799999999999</v>
      </c>
      <c r="D9" s="279">
        <v>953.94600000000003</v>
      </c>
      <c r="E9" s="279">
        <v>1016.357</v>
      </c>
      <c r="F9" s="279">
        <v>963.36800000000005</v>
      </c>
      <c r="G9" s="279">
        <v>951.86800000000005</v>
      </c>
      <c r="H9" s="279">
        <v>939.125</v>
      </c>
      <c r="I9" s="279">
        <v>932.77200000000005</v>
      </c>
      <c r="J9" s="279">
        <v>941.89300000000003</v>
      </c>
    </row>
    <row r="10" spans="1:10" ht="20.100000000000001" customHeight="1">
      <c r="A10" s="8" t="s">
        <v>155</v>
      </c>
      <c r="C10" s="280"/>
      <c r="D10" s="280"/>
      <c r="E10" s="280"/>
      <c r="F10" s="280"/>
      <c r="G10" s="280"/>
      <c r="H10" s="280"/>
      <c r="I10" s="280"/>
      <c r="J10" s="280"/>
    </row>
    <row r="11" spans="1:10">
      <c r="A11" s="138"/>
      <c r="B11" s="138" t="s">
        <v>151</v>
      </c>
      <c r="C11" s="278">
        <v>100</v>
      </c>
      <c r="D11" s="278">
        <f>D6*100/$C6</f>
        <v>88.677973222510346</v>
      </c>
      <c r="E11" s="278">
        <f t="shared" ref="E11:J11" si="1">E6*100/$C6</f>
        <v>94.592979602496342</v>
      </c>
      <c r="F11" s="278">
        <f t="shared" si="1"/>
        <v>80.918093469988506</v>
      </c>
      <c r="G11" s="278">
        <f t="shared" si="1"/>
        <v>79.149155414755867</v>
      </c>
      <c r="H11" s="278">
        <f t="shared" si="1"/>
        <v>77.511223523767754</v>
      </c>
      <c r="I11" s="278">
        <f t="shared" si="1"/>
        <v>76.683315662404354</v>
      </c>
      <c r="J11" s="278">
        <f t="shared" si="1"/>
        <v>76.481483847067679</v>
      </c>
    </row>
    <row r="12" spans="1:10">
      <c r="A12" s="138"/>
      <c r="B12" s="138" t="s">
        <v>160</v>
      </c>
      <c r="C12" s="278">
        <v>99.999999999999986</v>
      </c>
      <c r="D12" s="278">
        <f>D7*100/$C7</f>
        <v>74.01004968420493</v>
      </c>
      <c r="E12" s="278">
        <f t="shared" ref="E12:J12" si="2">E7*100/$C7</f>
        <v>71.740739388588892</v>
      </c>
      <c r="F12" s="278">
        <f t="shared" si="2"/>
        <v>58.12520950670919</v>
      </c>
      <c r="G12" s="278">
        <f t="shared" si="2"/>
        <v>59.789315074858202</v>
      </c>
      <c r="H12" s="278">
        <f t="shared" si="2"/>
        <v>56.417626110592991</v>
      </c>
      <c r="I12" s="278">
        <f t="shared" si="2"/>
        <v>55.87697434144367</v>
      </c>
      <c r="J12" s="278">
        <f t="shared" si="2"/>
        <v>55.469743082544817</v>
      </c>
    </row>
    <row r="13" spans="1:10">
      <c r="A13" s="138"/>
      <c r="B13" s="138" t="s">
        <v>159</v>
      </c>
      <c r="C13" s="278">
        <v>100</v>
      </c>
      <c r="D13" s="278">
        <f>D8*100/$C8</f>
        <v>175.38478139315876</v>
      </c>
      <c r="E13" s="278">
        <f t="shared" ref="E13:J13" si="3">E8*100/$C8</f>
        <v>229.67991289078975</v>
      </c>
      <c r="F13" s="278">
        <f t="shared" si="3"/>
        <v>215.65415289235929</v>
      </c>
      <c r="G13" s="278">
        <f t="shared" si="3"/>
        <v>193.59139109877279</v>
      </c>
      <c r="H13" s="278">
        <f t="shared" si="3"/>
        <v>202.20225424510255</v>
      </c>
      <c r="I13" s="278">
        <f t="shared" si="3"/>
        <v>199.67628334036354</v>
      </c>
      <c r="J13" s="278">
        <f t="shared" si="3"/>
        <v>200.68863362140848</v>
      </c>
    </row>
    <row r="14" spans="1:10">
      <c r="A14" s="14"/>
      <c r="B14" s="14" t="s">
        <v>158</v>
      </c>
      <c r="C14" s="279">
        <v>100</v>
      </c>
      <c r="D14" s="279">
        <f>D9*100/$C9</f>
        <v>97.335667889043307</v>
      </c>
      <c r="E14" s="279">
        <f t="shared" ref="E14:J14" si="4">E9*100/$C9</f>
        <v>103.70376038969123</v>
      </c>
      <c r="F14" s="279">
        <f t="shared" si="4"/>
        <v>98.297039562964642</v>
      </c>
      <c r="G14" s="279">
        <f t="shared" si="4"/>
        <v>97.123639621328536</v>
      </c>
      <c r="H14" s="279">
        <f t="shared" si="4"/>
        <v>95.823410451218194</v>
      </c>
      <c r="I14" s="279">
        <f t="shared" si="4"/>
        <v>95.175183509547409</v>
      </c>
      <c r="J14" s="279">
        <f t="shared" si="4"/>
        <v>96.105842715431137</v>
      </c>
    </row>
    <row r="15" spans="1:10" ht="20.100000000000001" customHeight="1">
      <c r="A15" s="8" t="s">
        <v>16</v>
      </c>
      <c r="C15" s="280"/>
      <c r="D15" s="280"/>
      <c r="E15" s="280"/>
      <c r="F15" s="280"/>
      <c r="G15" s="280"/>
      <c r="H15" s="280"/>
      <c r="I15" s="280"/>
      <c r="J15" s="280"/>
    </row>
    <row r="16" spans="1:10">
      <c r="A16" s="138"/>
      <c r="B16" s="138" t="s">
        <v>151</v>
      </c>
      <c r="C16" s="278">
        <v>25.0877299807395</v>
      </c>
      <c r="D16" s="278">
        <v>22.1110261746012</v>
      </c>
      <c r="E16" s="278">
        <v>22.063541617352563</v>
      </c>
      <c r="F16" s="278">
        <v>20.147829298332105</v>
      </c>
      <c r="G16" s="278">
        <v>20.18416266254038</v>
      </c>
      <c r="H16" s="278">
        <v>18.771122122647867</v>
      </c>
      <c r="I16" s="278">
        <f>I6*100/(808.855+2091.166)</f>
        <v>18.629865094080351</v>
      </c>
      <c r="J16" s="278">
        <f>J6*100/(810.113+2078.698)</f>
        <v>18.652933681019633</v>
      </c>
    </row>
    <row r="17" spans="1:10">
      <c r="A17" s="138"/>
      <c r="B17" s="138" t="s">
        <v>160</v>
      </c>
      <c r="C17" s="278">
        <v>33.609543096587203</v>
      </c>
      <c r="D17" s="278">
        <v>34.527262888238106</v>
      </c>
      <c r="E17" s="278">
        <v>37.903329037235764</v>
      </c>
      <c r="F17" s="278">
        <v>41.831696766596359</v>
      </c>
      <c r="G17" s="278">
        <v>42.68309730676188</v>
      </c>
      <c r="H17" s="278">
        <v>41.934190742497258</v>
      </c>
      <c r="I17" s="278">
        <f>I7*100/808.855</f>
        <v>41.628969345556378</v>
      </c>
      <c r="J17" s="278">
        <f>J7*100/810.113</f>
        <v>41.261404273231015</v>
      </c>
    </row>
    <row r="18" spans="1:10">
      <c r="A18" s="138"/>
      <c r="B18" s="138" t="s">
        <v>159</v>
      </c>
      <c r="C18" s="278">
        <v>10.0397686759139</v>
      </c>
      <c r="D18" s="278">
        <v>11.6555482323613</v>
      </c>
      <c r="E18" s="278">
        <v>12.453930329946337</v>
      </c>
      <c r="F18" s="278">
        <v>11.034521528710888</v>
      </c>
      <c r="G18" s="278">
        <v>10.285767001049168</v>
      </c>
      <c r="H18" s="278">
        <v>9.8224237384651687</v>
      </c>
      <c r="I18" s="278">
        <f>I8*100/2091.166</f>
        <v>9.7338996521557828</v>
      </c>
      <c r="J18" s="278">
        <f>J8*100/2078.698</f>
        <v>9.8419299003510865</v>
      </c>
    </row>
    <row r="19" spans="1:10">
      <c r="A19" s="14"/>
      <c r="B19" s="14" t="s">
        <v>158</v>
      </c>
      <c r="C19" s="279">
        <v>19.235682041216901</v>
      </c>
      <c r="D19" s="279">
        <v>17.3065148203132</v>
      </c>
      <c r="E19" s="279">
        <v>16.48889467167476</v>
      </c>
      <c r="F19" s="279">
        <v>15.347808929522477</v>
      </c>
      <c r="G19" s="279">
        <v>15.395150631385748</v>
      </c>
      <c r="H19" s="279">
        <v>14.228448776751113</v>
      </c>
      <c r="I19" s="279">
        <f>I9*100/6576.296</f>
        <v>14.183850605264727</v>
      </c>
      <c r="J19" s="279">
        <f>J9*100/6455.809</f>
        <v>14.589852332991883</v>
      </c>
    </row>
    <row r="20" spans="1:10" ht="3.95" customHeight="1">
      <c r="C20" s="245"/>
      <c r="D20" s="245"/>
      <c r="E20" s="245"/>
      <c r="F20" s="245"/>
      <c r="G20" s="245"/>
      <c r="H20" s="245"/>
      <c r="I20" s="245"/>
      <c r="J20" s="245"/>
    </row>
    <row r="21" spans="1:10">
      <c r="A21" t="s">
        <v>225</v>
      </c>
    </row>
    <row r="22" spans="1:10" ht="3.95" customHeight="1"/>
    <row r="23" spans="1:10">
      <c r="A23" t="s">
        <v>325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2"/>
  <dimension ref="A1:J30"/>
  <sheetViews>
    <sheetView showGridLines="0" zoomScaleNormal="100" workbookViewId="0">
      <selection sqref="A1:H29"/>
    </sheetView>
  </sheetViews>
  <sheetFormatPr baseColWidth="10" defaultColWidth="10.90625" defaultRowHeight="16.5"/>
  <cols>
    <col min="1" max="1" width="14.36328125" style="6" customWidth="1"/>
    <col min="2" max="8" width="12.6328125" style="6" customWidth="1"/>
    <col min="9" max="16384" width="10.90625" style="6"/>
  </cols>
  <sheetData>
    <row r="1" spans="1:8">
      <c r="A1" s="281" t="s">
        <v>244</v>
      </c>
      <c r="B1" s="281" t="s">
        <v>171</v>
      </c>
      <c r="C1" s="281"/>
      <c r="D1" s="281"/>
      <c r="E1" s="281"/>
      <c r="F1" s="281"/>
      <c r="G1" s="281"/>
      <c r="H1" s="281"/>
    </row>
    <row r="2" spans="1:8">
      <c r="A2" s="282" t="s">
        <v>188</v>
      </c>
      <c r="B2" s="281"/>
      <c r="C2" s="281"/>
      <c r="D2" s="281"/>
      <c r="E2" s="281"/>
      <c r="F2" s="281"/>
      <c r="G2" s="281"/>
      <c r="H2" s="281"/>
    </row>
    <row r="3" spans="1:8">
      <c r="A3" s="283" t="s">
        <v>185</v>
      </c>
      <c r="B3" s="281"/>
      <c r="C3" s="281"/>
      <c r="D3" s="281"/>
      <c r="E3" s="281"/>
      <c r="F3" s="281"/>
      <c r="G3" s="281"/>
      <c r="H3" s="281"/>
    </row>
    <row r="4" spans="1:8" ht="8.1" customHeight="1">
      <c r="A4" s="283"/>
      <c r="B4" s="281"/>
      <c r="C4" s="281"/>
      <c r="D4" s="281"/>
      <c r="E4" s="281"/>
      <c r="F4" s="281"/>
      <c r="G4" s="281"/>
      <c r="H4" s="281"/>
    </row>
    <row r="5" spans="1:8" ht="16.5" customHeight="1">
      <c r="A5" s="29" t="s">
        <v>172</v>
      </c>
      <c r="B5" s="346" t="s">
        <v>186</v>
      </c>
      <c r="C5" s="347"/>
      <c r="D5" s="347"/>
      <c r="E5" s="347"/>
      <c r="F5" s="346" t="s">
        <v>151</v>
      </c>
      <c r="G5" s="347"/>
      <c r="H5" s="347"/>
    </row>
    <row r="6" spans="1:8" ht="33">
      <c r="A6" s="137" t="s">
        <v>173</v>
      </c>
      <c r="B6" s="136" t="s">
        <v>177</v>
      </c>
      <c r="C6" s="16" t="s">
        <v>178</v>
      </c>
      <c r="D6" s="32" t="s">
        <v>179</v>
      </c>
      <c r="E6" s="16" t="s">
        <v>4</v>
      </c>
      <c r="F6" s="136" t="s">
        <v>180</v>
      </c>
      <c r="G6" s="32" t="s">
        <v>184</v>
      </c>
      <c r="H6" s="32" t="s">
        <v>4</v>
      </c>
    </row>
    <row r="7" spans="1:8">
      <c r="A7" s="284" t="s">
        <v>170</v>
      </c>
      <c r="B7" s="291">
        <v>0.17100000000000001</v>
      </c>
      <c r="C7" s="292">
        <v>8.9290000000000003</v>
      </c>
      <c r="D7" s="293">
        <v>2.5910000000000002</v>
      </c>
      <c r="E7" s="292">
        <v>11.690999999999999</v>
      </c>
      <c r="F7" s="291">
        <v>1.982</v>
      </c>
      <c r="G7" s="292">
        <v>21.803000000000001</v>
      </c>
      <c r="H7" s="293">
        <v>23.785</v>
      </c>
    </row>
    <row r="8" spans="1:8">
      <c r="A8" s="285" t="s">
        <v>169</v>
      </c>
      <c r="B8" s="294">
        <v>0.48899999999999999</v>
      </c>
      <c r="C8" s="295">
        <v>3.4430000000000001</v>
      </c>
      <c r="D8" s="296">
        <v>0.13900000000000001</v>
      </c>
      <c r="E8" s="295">
        <v>4.0709999999999997</v>
      </c>
      <c r="F8" s="294">
        <v>6.0590000000000002</v>
      </c>
      <c r="G8" s="295">
        <v>27.009</v>
      </c>
      <c r="H8" s="296">
        <v>33.067999999999998</v>
      </c>
    </row>
    <row r="9" spans="1:8">
      <c r="A9" s="286" t="s">
        <v>168</v>
      </c>
      <c r="B9" s="291">
        <v>0.71899999999999997</v>
      </c>
      <c r="C9" s="292">
        <v>1.974</v>
      </c>
      <c r="D9" s="293">
        <v>0.107</v>
      </c>
      <c r="E9" s="292">
        <v>2.8000000000000003</v>
      </c>
      <c r="F9" s="291">
        <v>12.52</v>
      </c>
      <c r="G9" s="292">
        <v>27.475999999999999</v>
      </c>
      <c r="H9" s="293">
        <v>39.995999999999995</v>
      </c>
    </row>
    <row r="10" spans="1:8">
      <c r="A10" s="285" t="s">
        <v>167</v>
      </c>
      <c r="B10" s="294">
        <v>1.3049999999999999</v>
      </c>
      <c r="C10" s="295">
        <v>2.0070000000000001</v>
      </c>
      <c r="D10" s="296">
        <v>0.17199999999999999</v>
      </c>
      <c r="E10" s="295">
        <v>3.4840000000000004</v>
      </c>
      <c r="F10" s="294">
        <v>33.709000000000003</v>
      </c>
      <c r="G10" s="295">
        <v>44.896000000000001</v>
      </c>
      <c r="H10" s="296">
        <v>78.605000000000004</v>
      </c>
    </row>
    <row r="11" spans="1:8">
      <c r="A11" s="286" t="s">
        <v>166</v>
      </c>
      <c r="B11" s="291">
        <v>1.744</v>
      </c>
      <c r="C11" s="292">
        <v>1.4119999999999999</v>
      </c>
      <c r="D11" s="293">
        <v>0.19600000000000001</v>
      </c>
      <c r="E11" s="292">
        <v>3.3519999999999999</v>
      </c>
      <c r="F11" s="291">
        <v>76.756</v>
      </c>
      <c r="G11" s="292">
        <v>56.901000000000003</v>
      </c>
      <c r="H11" s="293">
        <v>133.65700000000001</v>
      </c>
    </row>
    <row r="12" spans="1:8">
      <c r="A12" s="285" t="s">
        <v>183</v>
      </c>
      <c r="B12" s="294">
        <v>1.1659999999999999</v>
      </c>
      <c r="C12" s="295">
        <v>0.34300000000000003</v>
      </c>
      <c r="D12" s="296">
        <v>0.129</v>
      </c>
      <c r="E12" s="295">
        <v>1.6379999999999999</v>
      </c>
      <c r="F12" s="294">
        <v>92.69</v>
      </c>
      <c r="G12" s="295">
        <v>27.486999999999998</v>
      </c>
      <c r="H12" s="296">
        <v>120.17699999999999</v>
      </c>
    </row>
    <row r="13" spans="1:8">
      <c r="A13" s="287" t="s">
        <v>182</v>
      </c>
      <c r="B13" s="291">
        <v>0.49399999999999999</v>
      </c>
      <c r="C13" s="292">
        <v>5.3999999999999999E-2</v>
      </c>
      <c r="D13" s="293">
        <v>7.9000000000000001E-2</v>
      </c>
      <c r="E13" s="292">
        <v>0.627</v>
      </c>
      <c r="F13" s="291">
        <v>87.781999999999996</v>
      </c>
      <c r="G13" s="292">
        <v>9.8190000000000008</v>
      </c>
      <c r="H13" s="293">
        <v>97.600999999999999</v>
      </c>
    </row>
    <row r="14" spans="1:8">
      <c r="A14" s="29" t="s">
        <v>4</v>
      </c>
      <c r="B14" s="297">
        <v>6.0879999999999992</v>
      </c>
      <c r="C14" s="298">
        <v>18.161999999999999</v>
      </c>
      <c r="D14" s="299">
        <v>3.4130000000000011</v>
      </c>
      <c r="E14" s="298">
        <v>27.663</v>
      </c>
      <c r="F14" s="297">
        <v>311.49799999999999</v>
      </c>
      <c r="G14" s="298">
        <v>215.39099999999999</v>
      </c>
      <c r="H14" s="299">
        <v>526.88900000000001</v>
      </c>
    </row>
    <row r="15" spans="1:8" ht="9.75" customHeight="1">
      <c r="A15" s="283"/>
      <c r="B15" s="288"/>
      <c r="C15" s="288"/>
      <c r="D15" s="288"/>
      <c r="E15" s="288"/>
      <c r="F15" s="289"/>
      <c r="G15" s="289"/>
      <c r="H15" s="289"/>
    </row>
    <row r="16" spans="1:8">
      <c r="A16" s="283" t="s">
        <v>181</v>
      </c>
      <c r="B16" s="281"/>
      <c r="C16" s="281"/>
      <c r="D16" s="281"/>
      <c r="E16" s="281"/>
      <c r="F16" s="281"/>
      <c r="G16" s="281"/>
      <c r="H16" s="281"/>
    </row>
    <row r="17" spans="1:10" ht="8.1" customHeight="1">
      <c r="A17" s="283"/>
      <c r="B17" s="281"/>
      <c r="C17" s="281"/>
      <c r="D17" s="281"/>
      <c r="E17" s="281"/>
      <c r="F17" s="281"/>
      <c r="G17" s="281"/>
      <c r="H17" s="281"/>
    </row>
    <row r="18" spans="1:10">
      <c r="A18" s="29" t="s">
        <v>172</v>
      </c>
      <c r="B18" s="346" t="s">
        <v>186</v>
      </c>
      <c r="C18" s="347"/>
      <c r="D18" s="347"/>
      <c r="E18" s="347"/>
      <c r="F18" s="346" t="s">
        <v>151</v>
      </c>
      <c r="G18" s="347"/>
      <c r="H18" s="347"/>
    </row>
    <row r="19" spans="1:10" ht="33">
      <c r="A19" s="137" t="s">
        <v>173</v>
      </c>
      <c r="B19" s="136" t="s">
        <v>177</v>
      </c>
      <c r="C19" s="16" t="s">
        <v>178</v>
      </c>
      <c r="D19" s="32" t="s">
        <v>179</v>
      </c>
      <c r="E19" s="16" t="s">
        <v>4</v>
      </c>
      <c r="F19" s="136" t="s">
        <v>180</v>
      </c>
      <c r="G19" s="32" t="s">
        <v>184</v>
      </c>
      <c r="H19" s="32" t="s">
        <v>4</v>
      </c>
    </row>
    <row r="20" spans="1:10">
      <c r="A20" s="284" t="s">
        <v>170</v>
      </c>
      <c r="B20" s="291">
        <f>B7*100/B$14</f>
        <v>2.8088042049934301</v>
      </c>
      <c r="C20" s="293">
        <f t="shared" ref="C20:E20" si="0">C7*100/C$14</f>
        <v>49.163087765664578</v>
      </c>
      <c r="D20" s="293">
        <f t="shared" si="0"/>
        <v>75.915616759449151</v>
      </c>
      <c r="E20" s="300">
        <f t="shared" si="0"/>
        <v>42.262227524129699</v>
      </c>
      <c r="F20" s="291">
        <f t="shared" ref="F20:H20" si="1">F7*100/F$14</f>
        <v>0.63628016873302551</v>
      </c>
      <c r="G20" s="293">
        <f t="shared" si="1"/>
        <v>10.122521368116589</v>
      </c>
      <c r="H20" s="300">
        <f t="shared" si="1"/>
        <v>4.5142335482426086</v>
      </c>
    </row>
    <row r="21" spans="1:10">
      <c r="A21" s="285" t="s">
        <v>169</v>
      </c>
      <c r="B21" s="294">
        <f>B8*100/B$14</f>
        <v>8.0321944809461243</v>
      </c>
      <c r="C21" s="296">
        <f t="shared" ref="C21:E21" si="2">C8*100/C$14</f>
        <v>18.957163308005729</v>
      </c>
      <c r="D21" s="296">
        <f t="shared" si="2"/>
        <v>4.0726633460298851</v>
      </c>
      <c r="E21" s="301">
        <f t="shared" si="2"/>
        <v>14.716408198676932</v>
      </c>
      <c r="F21" s="294">
        <f t="shared" ref="F21:H21" si="3">F8*100/F$14</f>
        <v>1.9451168225799202</v>
      </c>
      <c r="G21" s="296">
        <f t="shared" si="3"/>
        <v>12.539521149908772</v>
      </c>
      <c r="H21" s="301">
        <f t="shared" si="3"/>
        <v>6.2760847161356557</v>
      </c>
      <c r="J21" s="290"/>
    </row>
    <row r="22" spans="1:10">
      <c r="A22" s="286" t="s">
        <v>168</v>
      </c>
      <c r="B22" s="291">
        <f t="shared" ref="B22:E25" si="4">B9*100/B$14</f>
        <v>11.810118265440211</v>
      </c>
      <c r="C22" s="293">
        <f t="shared" si="4"/>
        <v>10.868847043277173</v>
      </c>
      <c r="D22" s="293">
        <f t="shared" si="4"/>
        <v>3.1350717843539395</v>
      </c>
      <c r="E22" s="300">
        <f t="shared" si="4"/>
        <v>10.121823374182121</v>
      </c>
      <c r="F22" s="291">
        <f t="shared" ref="F22:H22" si="5">F9*100/F$14</f>
        <v>4.0192874432580625</v>
      </c>
      <c r="G22" s="293">
        <f t="shared" si="5"/>
        <v>12.756336151464081</v>
      </c>
      <c r="H22" s="300">
        <f t="shared" si="5"/>
        <v>7.5909726716632901</v>
      </c>
    </row>
    <row r="23" spans="1:10">
      <c r="A23" s="285" t="s">
        <v>167</v>
      </c>
      <c r="B23" s="294">
        <f t="shared" si="4"/>
        <v>21.435611038107755</v>
      </c>
      <c r="C23" s="296">
        <f t="shared" si="4"/>
        <v>11.050545094152628</v>
      </c>
      <c r="D23" s="296">
        <f t="shared" si="4"/>
        <v>5.0395546440082022</v>
      </c>
      <c r="E23" s="301">
        <f t="shared" si="4"/>
        <v>12.59444022701804</v>
      </c>
      <c r="F23" s="294">
        <f t="shared" ref="F23:H23" si="6">F10*100/F$14</f>
        <v>10.821578308688983</v>
      </c>
      <c r="G23" s="296">
        <f t="shared" si="6"/>
        <v>20.843953554233931</v>
      </c>
      <c r="H23" s="301">
        <f t="shared" si="6"/>
        <v>14.918702041606487</v>
      </c>
    </row>
    <row r="24" spans="1:10">
      <c r="A24" s="286" t="s">
        <v>166</v>
      </c>
      <c r="B24" s="291">
        <f t="shared" si="4"/>
        <v>28.646517739816037</v>
      </c>
      <c r="C24" s="293">
        <f t="shared" si="4"/>
        <v>7.7744741768527694</v>
      </c>
      <c r="D24" s="293">
        <f t="shared" si="4"/>
        <v>5.7427483152651613</v>
      </c>
      <c r="E24" s="300">
        <f t="shared" si="4"/>
        <v>12.117268553663738</v>
      </c>
      <c r="F24" s="291">
        <f t="shared" ref="F24:H24" si="7">F11*100/F$14</f>
        <v>24.640928673699353</v>
      </c>
      <c r="G24" s="293">
        <f t="shared" si="7"/>
        <v>26.417538337256435</v>
      </c>
      <c r="H24" s="300">
        <f t="shared" si="7"/>
        <v>25.367202579670483</v>
      </c>
    </row>
    <row r="25" spans="1:10">
      <c r="A25" s="285" t="s">
        <v>183</v>
      </c>
      <c r="B25" s="294">
        <f t="shared" si="4"/>
        <v>19.152431011826547</v>
      </c>
      <c r="C25" s="296">
        <f t="shared" si="4"/>
        <v>1.8885585287963884</v>
      </c>
      <c r="D25" s="296">
        <f t="shared" si="4"/>
        <v>3.7796659830061516</v>
      </c>
      <c r="E25" s="301">
        <f t="shared" si="4"/>
        <v>5.9212666738965396</v>
      </c>
      <c r="F25" s="294">
        <f t="shared" ref="F25:H25" si="8">F12*100/F$14</f>
        <v>29.756210312746791</v>
      </c>
      <c r="G25" s="296">
        <f t="shared" si="8"/>
        <v>12.761443142935406</v>
      </c>
      <c r="H25" s="301">
        <f t="shared" si="8"/>
        <v>22.808788947956778</v>
      </c>
    </row>
    <row r="26" spans="1:10">
      <c r="A26" s="287" t="s">
        <v>182</v>
      </c>
      <c r="B26" s="291">
        <f>B13*100/B$14</f>
        <v>8.1143232588699092</v>
      </c>
      <c r="C26" s="293">
        <f t="shared" ref="C26:E26" si="9">C13*100/C$14</f>
        <v>0.29732408325074333</v>
      </c>
      <c r="D26" s="293">
        <f t="shared" si="9"/>
        <v>2.3146791678874883</v>
      </c>
      <c r="E26" s="300">
        <f t="shared" si="9"/>
        <v>2.266565448432925</v>
      </c>
      <c r="F26" s="291">
        <f t="shared" ref="F26:H26" si="10">F13*100/F$14</f>
        <v>28.180598270293867</v>
      </c>
      <c r="G26" s="293">
        <f t="shared" si="10"/>
        <v>4.5586862960847956</v>
      </c>
      <c r="H26" s="300">
        <f t="shared" si="10"/>
        <v>18.524015494724697</v>
      </c>
    </row>
    <row r="27" spans="1:10">
      <c r="A27" s="29" t="s">
        <v>4</v>
      </c>
      <c r="B27" s="297">
        <f>SUM(B20:B26)</f>
        <v>100.00000000000003</v>
      </c>
      <c r="C27" s="299">
        <f t="shared" ref="C27:E27" si="11">SUM(C20:C26)</f>
        <v>100</v>
      </c>
      <c r="D27" s="299">
        <f t="shared" si="11"/>
        <v>99.999999999999986</v>
      </c>
      <c r="E27" s="302">
        <f t="shared" si="11"/>
        <v>99.999999999999986</v>
      </c>
      <c r="F27" s="297">
        <f t="shared" ref="F27" si="12">SUM(F20:F26)</f>
        <v>100</v>
      </c>
      <c r="G27" s="299">
        <f t="shared" ref="G27" si="13">SUM(G20:G26)</f>
        <v>100.00000000000001</v>
      </c>
      <c r="H27" s="302">
        <f t="shared" ref="H27" si="14">SUM(H20:H26)</f>
        <v>100</v>
      </c>
    </row>
    <row r="28" spans="1:10" ht="3.95" customHeight="1"/>
    <row r="29" spans="1:10">
      <c r="A29" s="6" t="s">
        <v>326</v>
      </c>
    </row>
    <row r="30" spans="1:10">
      <c r="B30" s="290"/>
    </row>
  </sheetData>
  <mergeCells count="4">
    <mergeCell ref="B5:E5"/>
    <mergeCell ref="F5:H5"/>
    <mergeCell ref="B18:E18"/>
    <mergeCell ref="F18:H18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3"/>
  <dimension ref="A1:I19"/>
  <sheetViews>
    <sheetView showGridLines="0" zoomScaleNormal="100" workbookViewId="0">
      <selection sqref="A1:I19"/>
    </sheetView>
  </sheetViews>
  <sheetFormatPr baseColWidth="10" defaultColWidth="10.90625" defaultRowHeight="16.5"/>
  <cols>
    <col min="1" max="1" width="2.26953125" customWidth="1"/>
    <col min="2" max="2" width="18.90625" customWidth="1"/>
    <col min="3" max="9" width="11.6328125" customWidth="1"/>
  </cols>
  <sheetData>
    <row r="1" spans="1:9">
      <c r="A1" t="s">
        <v>245</v>
      </c>
    </row>
    <row r="2" spans="1:9">
      <c r="A2" s="8" t="s">
        <v>327</v>
      </c>
    </row>
    <row r="3" spans="1:9" ht="10.5" customHeight="1"/>
    <row r="4" spans="1:9">
      <c r="A4" s="10"/>
      <c r="B4" s="10"/>
      <c r="C4" s="10">
        <v>1987</v>
      </c>
      <c r="D4" s="10">
        <v>1996</v>
      </c>
      <c r="E4" s="10">
        <v>2010</v>
      </c>
      <c r="F4" s="10">
        <v>2015</v>
      </c>
      <c r="G4" s="10">
        <v>2020</v>
      </c>
      <c r="H4" s="10">
        <v>2021</v>
      </c>
      <c r="I4" s="10">
        <v>2022</v>
      </c>
    </row>
    <row r="5" spans="1:9">
      <c r="A5" s="8" t="s">
        <v>152</v>
      </c>
      <c r="C5" s="303"/>
      <c r="D5" s="303"/>
      <c r="E5" s="303"/>
      <c r="F5" s="303"/>
      <c r="G5" s="303"/>
      <c r="H5" s="303"/>
      <c r="I5" s="303"/>
    </row>
    <row r="6" spans="1:9">
      <c r="A6" s="138"/>
      <c r="B6" s="138" t="s">
        <v>153</v>
      </c>
      <c r="C6" s="229">
        <v>561.55600000000004</v>
      </c>
      <c r="D6" s="229">
        <v>271.702</v>
      </c>
      <c r="E6" s="229">
        <v>443.18200000000002</v>
      </c>
      <c r="F6" s="229">
        <v>440.22199999999998</v>
      </c>
      <c r="G6" s="229">
        <v>780.28899999999999</v>
      </c>
      <c r="H6" s="229">
        <v>705.80899999999997</v>
      </c>
      <c r="I6" s="229">
        <v>974.40599999999995</v>
      </c>
    </row>
    <row r="7" spans="1:9">
      <c r="B7" t="s">
        <v>154</v>
      </c>
      <c r="C7" s="276">
        <v>178.17699999999999</v>
      </c>
      <c r="D7" s="276">
        <v>121.89700000000001</v>
      </c>
      <c r="E7" s="276">
        <v>114.369</v>
      </c>
      <c r="F7" s="276">
        <v>101.935</v>
      </c>
      <c r="G7" s="276">
        <v>81.462999999999994</v>
      </c>
      <c r="H7" s="276">
        <v>92.491</v>
      </c>
      <c r="I7" s="276">
        <v>105.136</v>
      </c>
    </row>
    <row r="8" spans="1:9">
      <c r="A8" s="14"/>
      <c r="B8" s="14" t="s">
        <v>4</v>
      </c>
      <c r="C8" s="277">
        <v>1619.453</v>
      </c>
      <c r="D8" s="277">
        <v>981.31500000000005</v>
      </c>
      <c r="E8" s="277">
        <v>1018.941</v>
      </c>
      <c r="F8" s="277">
        <v>1082.0350000000001</v>
      </c>
      <c r="G8" s="277">
        <v>1286.72</v>
      </c>
      <c r="H8" s="277">
        <v>1196.278</v>
      </c>
      <c r="I8" s="277">
        <v>1490.8620000000001</v>
      </c>
    </row>
    <row r="9" spans="1:9">
      <c r="A9" s="8" t="s">
        <v>155</v>
      </c>
      <c r="C9" s="276"/>
      <c r="D9" s="276"/>
      <c r="E9" s="276"/>
      <c r="F9" s="276"/>
      <c r="G9" s="276"/>
      <c r="H9" s="276"/>
      <c r="I9" s="276"/>
    </row>
    <row r="10" spans="1:9">
      <c r="A10" s="138"/>
      <c r="B10" s="138" t="s">
        <v>153</v>
      </c>
      <c r="C10" s="229">
        <f>+C6*100/C6</f>
        <v>100</v>
      </c>
      <c r="D10" s="229">
        <f>+D6*100/C6</f>
        <v>48.383776506706361</v>
      </c>
      <c r="E10" s="229">
        <v>92.170871559633028</v>
      </c>
      <c r="F10" s="229">
        <v>78.393250183418914</v>
      </c>
      <c r="G10" s="229">
        <v>138.95123549565847</v>
      </c>
      <c r="H10" s="229">
        <f>H6*100/C6</f>
        <v>125.68808809807034</v>
      </c>
      <c r="I10" s="229">
        <f>I6*100/C6</f>
        <v>173.51893666882731</v>
      </c>
    </row>
    <row r="11" spans="1:9">
      <c r="B11" s="304" t="s">
        <v>154</v>
      </c>
      <c r="C11" s="305">
        <f>+C7*100/C7</f>
        <v>100.00000000000001</v>
      </c>
      <c r="D11" s="305">
        <f>+D7*100/C7</f>
        <v>68.413431587690894</v>
      </c>
      <c r="E11" s="306">
        <v>53.493435448577678</v>
      </c>
      <c r="F11" s="276">
        <v>57.209965371512602</v>
      </c>
      <c r="G11" s="276">
        <v>45.720266925585229</v>
      </c>
      <c r="H11" s="276">
        <f>H7*100/C7</f>
        <v>51.909617964159239</v>
      </c>
      <c r="I11" s="276">
        <f>I7*100/C7</f>
        <v>59.006493542937648</v>
      </c>
    </row>
    <row r="12" spans="1:9">
      <c r="A12" s="14"/>
      <c r="B12" s="14" t="s">
        <v>4</v>
      </c>
      <c r="C12" s="277">
        <v>100</v>
      </c>
      <c r="D12" s="277">
        <f>+D8*100/C8</f>
        <v>60.59546031900895</v>
      </c>
      <c r="E12" s="277">
        <v>65.054280143405251</v>
      </c>
      <c r="F12" s="277">
        <v>66.81484427149168</v>
      </c>
      <c r="G12" s="277">
        <v>79.453988476355903</v>
      </c>
      <c r="H12" s="277">
        <f>H8*100/C8</f>
        <v>73.869263263583449</v>
      </c>
      <c r="I12" s="277">
        <f>I8*100/C8</f>
        <v>92.059602841206271</v>
      </c>
    </row>
    <row r="13" spans="1:9">
      <c r="A13" s="8" t="s">
        <v>16</v>
      </c>
      <c r="C13" s="276"/>
      <c r="D13" s="276"/>
      <c r="E13" s="276"/>
      <c r="F13" s="276"/>
      <c r="G13" s="276"/>
      <c r="H13" s="276"/>
      <c r="I13" s="276"/>
    </row>
    <row r="14" spans="1:9">
      <c r="A14" s="138"/>
      <c r="B14" s="138" t="s">
        <v>153</v>
      </c>
      <c r="C14" s="229">
        <v>8.9201769052884483</v>
      </c>
      <c r="D14" s="229">
        <v>3.5799058216324067</v>
      </c>
      <c r="E14" s="229">
        <v>4.3015163169682404</v>
      </c>
      <c r="F14" s="229">
        <v>3.875882176957139</v>
      </c>
      <c r="G14" s="229">
        <v>5.5295064234736131</v>
      </c>
      <c r="H14" s="229">
        <f>H6*100/14086.834</f>
        <v>5.0104161091129482</v>
      </c>
      <c r="I14" s="229">
        <f>I6*100/13803.195</f>
        <v>7.0592786670042695</v>
      </c>
    </row>
    <row r="15" spans="1:9">
      <c r="B15" t="s">
        <v>154</v>
      </c>
      <c r="C15" s="276">
        <v>8.802467775696817</v>
      </c>
      <c r="D15" s="276">
        <v>5.8758030019874106</v>
      </c>
      <c r="E15" s="276">
        <v>4.7487583032372553</v>
      </c>
      <c r="F15" s="276">
        <v>4.1331713610778396</v>
      </c>
      <c r="G15" s="276">
        <v>3.0912851812372804</v>
      </c>
      <c r="H15" s="276">
        <f>H7*100/2684.907</f>
        <v>3.4448493001806022</v>
      </c>
      <c r="I15" s="276">
        <f>I7*100/2659.389</f>
        <v>3.9533892935557753</v>
      </c>
    </row>
    <row r="16" spans="1:9">
      <c r="A16" s="14"/>
      <c r="B16" s="14" t="s">
        <v>4</v>
      </c>
      <c r="C16" s="277">
        <v>9.3591135705768433</v>
      </c>
      <c r="D16" s="277">
        <v>5.2611891446058063</v>
      </c>
      <c r="E16" s="277">
        <v>3.9641279722614802</v>
      </c>
      <c r="F16" s="277">
        <v>3.8143695909397204</v>
      </c>
      <c r="G16" s="277">
        <v>3.9233967995739487</v>
      </c>
      <c r="H16" s="277">
        <f>H8*100/34544.729</f>
        <v>3.4629827317504795</v>
      </c>
      <c r="I16" s="277">
        <f>I8*100/34075.42</f>
        <v>4.3751830498347495</v>
      </c>
    </row>
    <row r="17" spans="1:1" ht="9" customHeight="1"/>
    <row r="18" spans="1:1">
      <c r="A18" t="s">
        <v>226</v>
      </c>
    </row>
    <row r="19" spans="1:1">
      <c r="A19" t="s">
        <v>328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8E3D7-F386-4133-9D18-F5FFDF01647E}">
  <sheetPr codeName="Hoja4"/>
  <dimension ref="A1:D9"/>
  <sheetViews>
    <sheetView showGridLines="0" workbookViewId="0">
      <selection sqref="A1:D9"/>
    </sheetView>
  </sheetViews>
  <sheetFormatPr baseColWidth="10" defaultColWidth="11.1796875" defaultRowHeight="15"/>
  <cols>
    <col min="1" max="1" width="32.453125" style="7" customWidth="1"/>
    <col min="2" max="4" width="9.54296875" style="7" customWidth="1"/>
    <col min="5" max="16384" width="11.1796875" style="7"/>
  </cols>
  <sheetData>
    <row r="1" spans="1:4" ht="16.5">
      <c r="A1" s="25" t="s">
        <v>5</v>
      </c>
      <c r="B1" s="26"/>
      <c r="C1" s="27"/>
      <c r="D1" s="27"/>
    </row>
    <row r="2" spans="1:4" ht="16.5">
      <c r="A2" s="28" t="s">
        <v>260</v>
      </c>
      <c r="B2" s="26"/>
      <c r="C2" s="27"/>
      <c r="D2" s="27"/>
    </row>
    <row r="4" spans="1:4" ht="33">
      <c r="A4" s="29"/>
      <c r="B4" s="16" t="s">
        <v>2</v>
      </c>
      <c r="C4" s="16" t="s">
        <v>3</v>
      </c>
      <c r="D4" s="32" t="s">
        <v>96</v>
      </c>
    </row>
    <row r="5" spans="1:4" ht="33">
      <c r="A5" s="33" t="s">
        <v>329</v>
      </c>
      <c r="B5" s="34">
        <f>2398855000/75451</f>
        <v>31793.548130574811</v>
      </c>
      <c r="C5" s="34">
        <f>45168207000/914871</f>
        <v>49371.121174460663</v>
      </c>
      <c r="D5" s="36">
        <v>64.397055149360057</v>
      </c>
    </row>
    <row r="6" spans="1:4" ht="16.5">
      <c r="A6" s="31" t="s">
        <v>330</v>
      </c>
      <c r="B6" s="35">
        <f>597993/75451</f>
        <v>7.9255808405455195</v>
      </c>
      <c r="C6" s="35">
        <f>23913682/914871</f>
        <v>26.13885673499324</v>
      </c>
      <c r="D6" s="35">
        <v>30.321069207036878</v>
      </c>
    </row>
    <row r="7" spans="1:4" ht="33">
      <c r="A7" s="33" t="s">
        <v>262</v>
      </c>
      <c r="B7" s="34">
        <f>2398855000/597993</f>
        <v>4011.5101681792262</v>
      </c>
      <c r="C7" s="34">
        <f>45168207000/23913682</f>
        <v>1888.8018582834713</v>
      </c>
      <c r="D7" s="36">
        <v>212.38385331878357</v>
      </c>
    </row>
    <row r="8" spans="1:4" ht="3.95" customHeight="1">
      <c r="D8" s="30"/>
    </row>
    <row r="9" spans="1:4" ht="16.5" customHeight="1">
      <c r="A9" s="26" t="s">
        <v>259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24D6-F885-4B43-B533-1DD4A03F2BE6}">
  <sheetPr codeName="Hoja5"/>
  <dimension ref="A1:F11"/>
  <sheetViews>
    <sheetView showGridLines="0" workbookViewId="0">
      <selection sqref="A1:F11"/>
    </sheetView>
  </sheetViews>
  <sheetFormatPr baseColWidth="10" defaultColWidth="11.1796875" defaultRowHeight="16.5"/>
  <cols>
    <col min="1" max="1" width="14.7265625" style="27" customWidth="1"/>
    <col min="2" max="6" width="9.26953125" style="27" customWidth="1"/>
    <col min="7" max="16384" width="11.1796875" style="27"/>
  </cols>
  <sheetData>
    <row r="1" spans="1:6">
      <c r="A1" s="25" t="s">
        <v>14</v>
      </c>
      <c r="B1" s="26"/>
    </row>
    <row r="2" spans="1:6">
      <c r="A2" s="28" t="s">
        <v>263</v>
      </c>
      <c r="B2" s="26"/>
    </row>
    <row r="4" spans="1:6">
      <c r="A4" s="39" t="s">
        <v>227</v>
      </c>
      <c r="B4" s="29">
        <v>1982</v>
      </c>
      <c r="C4" s="29">
        <v>1989</v>
      </c>
      <c r="D4" s="29">
        <v>1999</v>
      </c>
      <c r="E4" s="29">
        <v>2009</v>
      </c>
      <c r="F4" s="29">
        <v>2020</v>
      </c>
    </row>
    <row r="5" spans="1:6">
      <c r="A5" s="26" t="s">
        <v>229</v>
      </c>
      <c r="B5" s="42">
        <v>274790.09499999939</v>
      </c>
      <c r="C5" s="42">
        <v>180468.0800000001</v>
      </c>
      <c r="D5" s="42">
        <v>111700.55899999988</v>
      </c>
      <c r="E5" s="42">
        <v>58460.517000000153</v>
      </c>
      <c r="F5" s="42">
        <f>7641.158+2697.658+5872.344+7416.022</f>
        <v>23627.182000000001</v>
      </c>
    </row>
    <row r="6" spans="1:6">
      <c r="A6" s="41" t="s">
        <v>230</v>
      </c>
      <c r="B6" s="43">
        <v>13919.338</v>
      </c>
      <c r="C6" s="43">
        <v>19093.219999999987</v>
      </c>
      <c r="D6" s="43">
        <v>33003.550999999992</v>
      </c>
      <c r="E6" s="43">
        <v>28972.098999999987</v>
      </c>
      <c r="F6" s="43">
        <f>8914.477+5181.082+5208.178+3438.062+1068.974</f>
        <v>23810.772999999997</v>
      </c>
    </row>
    <row r="7" spans="1:6">
      <c r="A7" s="40" t="s">
        <v>4</v>
      </c>
      <c r="B7" s="44">
        <v>288709.43299999938</v>
      </c>
      <c r="C7" s="44">
        <v>199561.3000000001</v>
      </c>
      <c r="D7" s="44">
        <v>144704.10999999987</v>
      </c>
      <c r="E7" s="44">
        <v>87432.61600000014</v>
      </c>
      <c r="F7" s="44">
        <f>SUM(F5:F6)</f>
        <v>47437.955000000002</v>
      </c>
    </row>
    <row r="8" spans="1:6" ht="3.95" customHeight="1">
      <c r="A8" s="28"/>
      <c r="B8" s="28"/>
      <c r="C8" s="37"/>
      <c r="D8" s="38"/>
      <c r="E8" s="37"/>
      <c r="F8" s="37"/>
    </row>
    <row r="9" spans="1:6">
      <c r="A9" s="27" t="s">
        <v>264</v>
      </c>
    </row>
    <row r="10" spans="1:6" ht="3.95" customHeight="1"/>
    <row r="11" spans="1:6" ht="35.25" customHeight="1">
      <c r="A11" s="308" t="s">
        <v>256</v>
      </c>
      <c r="B11" s="308"/>
      <c r="C11" s="308"/>
      <c r="D11" s="308"/>
      <c r="E11" s="308"/>
      <c r="F11" s="308"/>
    </row>
  </sheetData>
  <mergeCells count="1">
    <mergeCell ref="A11:F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24210-15E8-4B2B-9EF9-4FF6C01B1AF7}">
  <sheetPr codeName="Hoja6">
    <pageSetUpPr fitToPage="1"/>
  </sheetPr>
  <dimension ref="A1:K34"/>
  <sheetViews>
    <sheetView showGridLines="0" zoomScaleNormal="100" workbookViewId="0">
      <selection sqref="A1:K29"/>
    </sheetView>
  </sheetViews>
  <sheetFormatPr baseColWidth="10" defaultColWidth="11.1796875" defaultRowHeight="16.5"/>
  <cols>
    <col min="1" max="1" width="1.7265625" style="25" customWidth="1"/>
    <col min="2" max="2" width="23.453125" style="25" customWidth="1"/>
    <col min="3" max="11" width="8.6328125" style="25" customWidth="1"/>
    <col min="12" max="16384" width="11.1796875" style="25"/>
  </cols>
  <sheetData>
    <row r="1" spans="1:11">
      <c r="A1" s="25" t="s">
        <v>6</v>
      </c>
    </row>
    <row r="2" spans="1:11">
      <c r="A2" s="45" t="s">
        <v>265</v>
      </c>
    </row>
    <row r="3" spans="1:11">
      <c r="C3" s="314"/>
      <c r="D3" s="314"/>
      <c r="E3" s="314"/>
      <c r="F3" s="46"/>
      <c r="G3" s="46"/>
    </row>
    <row r="4" spans="1:11">
      <c r="C4" s="309" t="s">
        <v>201</v>
      </c>
      <c r="D4" s="315"/>
      <c r="E4" s="310" t="s">
        <v>200</v>
      </c>
      <c r="F4" s="318"/>
      <c r="G4" s="318"/>
      <c r="H4" s="318"/>
      <c r="I4" s="318"/>
      <c r="J4" s="318"/>
      <c r="K4" s="310"/>
    </row>
    <row r="5" spans="1:11">
      <c r="A5" s="14"/>
      <c r="B5" s="14"/>
      <c r="C5" s="15">
        <v>1995</v>
      </c>
      <c r="D5" s="62">
        <v>2000</v>
      </c>
      <c r="E5" s="16">
        <v>2000</v>
      </c>
      <c r="F5" s="10">
        <v>2008</v>
      </c>
      <c r="G5" s="10">
        <v>2010</v>
      </c>
      <c r="H5" s="10">
        <v>2015</v>
      </c>
      <c r="I5" s="10">
        <v>2018</v>
      </c>
      <c r="J5" s="10">
        <v>2019</v>
      </c>
      <c r="K5" s="16">
        <v>2020</v>
      </c>
    </row>
    <row r="6" spans="1:11" ht="20.100000000000001" customHeight="1">
      <c r="A6" s="47" t="s">
        <v>17</v>
      </c>
      <c r="B6" s="48"/>
      <c r="C6" s="316"/>
      <c r="D6" s="317"/>
      <c r="E6" s="314"/>
      <c r="F6" s="314"/>
      <c r="G6" s="314"/>
    </row>
    <row r="7" spans="1:11">
      <c r="A7" s="12"/>
      <c r="B7" s="12" t="s">
        <v>198</v>
      </c>
      <c r="C7" s="63">
        <v>892.34300000000007</v>
      </c>
      <c r="D7" s="64">
        <v>856.851</v>
      </c>
      <c r="E7" s="60">
        <v>1153.9580000000001</v>
      </c>
      <c r="F7" s="51">
        <v>1729.124</v>
      </c>
      <c r="G7" s="51">
        <v>1471.0170000000001</v>
      </c>
      <c r="H7" s="51">
        <v>1927.058</v>
      </c>
      <c r="I7" s="51">
        <v>1808.5730000000001</v>
      </c>
      <c r="J7" s="51">
        <v>2024.8409999999999</v>
      </c>
      <c r="K7" s="51">
        <v>1835.4159999999999</v>
      </c>
    </row>
    <row r="8" spans="1:11">
      <c r="B8" s="25" t="s">
        <v>197</v>
      </c>
      <c r="C8" s="65">
        <v>428.44200000000001</v>
      </c>
      <c r="D8" s="66">
        <v>532.67700000000002</v>
      </c>
      <c r="E8" s="52">
        <v>592.85799999999995</v>
      </c>
      <c r="F8" s="52">
        <v>919.29</v>
      </c>
      <c r="G8" s="52">
        <v>770.33199999999999</v>
      </c>
      <c r="H8" s="52">
        <v>964.197</v>
      </c>
      <c r="I8" s="52">
        <f>SUM(I9:I13)</f>
        <v>1071.7040000000002</v>
      </c>
      <c r="J8" s="52">
        <f t="shared" ref="J8:K8" si="0">SUM(J9:J13)</f>
        <v>1212.701</v>
      </c>
      <c r="K8" s="52">
        <f t="shared" si="0"/>
        <v>1193.107</v>
      </c>
    </row>
    <row r="9" spans="1:11">
      <c r="B9" s="25" t="s">
        <v>196</v>
      </c>
      <c r="C9" s="65">
        <v>66.55</v>
      </c>
      <c r="D9" s="66">
        <v>91.855999999999995</v>
      </c>
      <c r="E9" s="52">
        <v>138.38300000000001</v>
      </c>
      <c r="F9" s="52">
        <v>178.196</v>
      </c>
      <c r="G9" s="52">
        <v>178.77699999999999</v>
      </c>
      <c r="H9" s="52">
        <v>245.06899999999999</v>
      </c>
      <c r="I9" s="52">
        <v>246.22399999999999</v>
      </c>
      <c r="J9" s="52">
        <v>296.101</v>
      </c>
      <c r="K9" s="52">
        <v>297.16699999999997</v>
      </c>
    </row>
    <row r="10" spans="1:11">
      <c r="B10" s="25" t="s">
        <v>195</v>
      </c>
      <c r="C10" s="65">
        <v>78.796999999999997</v>
      </c>
      <c r="D10" s="66">
        <v>75.697000000000003</v>
      </c>
      <c r="E10" s="52">
        <v>111.497</v>
      </c>
      <c r="F10" s="52">
        <v>184.952</v>
      </c>
      <c r="G10" s="52">
        <v>99.272999999999996</v>
      </c>
      <c r="H10" s="52">
        <v>136.63</v>
      </c>
      <c r="I10" s="52">
        <v>136.61600000000001</v>
      </c>
      <c r="J10" s="52">
        <v>125.072</v>
      </c>
      <c r="K10" s="52">
        <v>139.06100000000001</v>
      </c>
    </row>
    <row r="11" spans="1:11">
      <c r="B11" s="25" t="s">
        <v>194</v>
      </c>
      <c r="C11" s="65">
        <v>65.358000000000004</v>
      </c>
      <c r="D11" s="66">
        <v>65.763000000000005</v>
      </c>
      <c r="E11" s="52">
        <v>55.085999999999999</v>
      </c>
      <c r="F11" s="52">
        <v>109.312</v>
      </c>
      <c r="G11" s="52">
        <v>78.5</v>
      </c>
      <c r="H11" s="52">
        <v>67.561999999999998</v>
      </c>
      <c r="I11" s="52">
        <v>80.915999999999997</v>
      </c>
      <c r="J11" s="52">
        <v>84.944000000000003</v>
      </c>
      <c r="K11" s="52">
        <v>91.516000000000005</v>
      </c>
    </row>
    <row r="12" spans="1:11">
      <c r="B12" s="25" t="s">
        <v>193</v>
      </c>
      <c r="C12" s="65">
        <v>145.21100000000001</v>
      </c>
      <c r="D12" s="66">
        <v>186.01900000000001</v>
      </c>
      <c r="E12" s="52">
        <v>196.96600000000001</v>
      </c>
      <c r="F12" s="52">
        <v>291.33499999999998</v>
      </c>
      <c r="G12" s="52">
        <v>209.03299999999999</v>
      </c>
      <c r="H12" s="52">
        <v>239.64400000000001</v>
      </c>
      <c r="I12" s="52">
        <v>287.94200000000001</v>
      </c>
      <c r="J12" s="52">
        <v>294.19900000000001</v>
      </c>
      <c r="K12" s="52">
        <v>280.39600000000002</v>
      </c>
    </row>
    <row r="13" spans="1:11">
      <c r="B13" s="25" t="s">
        <v>192</v>
      </c>
      <c r="C13" s="65">
        <v>72.525999999999996</v>
      </c>
      <c r="D13" s="66">
        <v>113.342</v>
      </c>
      <c r="E13" s="52">
        <v>90.926000000000002</v>
      </c>
      <c r="F13" s="52">
        <v>155.495</v>
      </c>
      <c r="G13" s="52">
        <v>204.749</v>
      </c>
      <c r="H13" s="52">
        <v>275.29199999999997</v>
      </c>
      <c r="I13" s="52">
        <v>320.00599999999997</v>
      </c>
      <c r="J13" s="52">
        <v>412.38499999999999</v>
      </c>
      <c r="K13" s="52">
        <v>384.96699999999998</v>
      </c>
    </row>
    <row r="14" spans="1:11">
      <c r="A14" s="14"/>
      <c r="B14" s="14" t="s">
        <v>191</v>
      </c>
      <c r="C14" s="67">
        <v>1320.7850000000001</v>
      </c>
      <c r="D14" s="68">
        <v>1389.528</v>
      </c>
      <c r="E14" s="61">
        <f>E8+E7</f>
        <v>1746.816</v>
      </c>
      <c r="F14" s="53">
        <f>F8+F7</f>
        <v>2648.4139999999998</v>
      </c>
      <c r="G14" s="53">
        <f>G8+G7</f>
        <v>2241.3490000000002</v>
      </c>
      <c r="H14" s="53">
        <f>H7+H8</f>
        <v>2891.2550000000001</v>
      </c>
      <c r="I14" s="53">
        <f t="shared" ref="I14:J14" si="1">I7+I8</f>
        <v>2880.277</v>
      </c>
      <c r="J14" s="53">
        <f t="shared" si="1"/>
        <v>3237.5419999999999</v>
      </c>
      <c r="K14" s="53">
        <f>K7+K8</f>
        <v>3028.5230000000001</v>
      </c>
    </row>
    <row r="15" spans="1:11" ht="20.100000000000001" customHeight="1">
      <c r="A15" s="45" t="s">
        <v>199</v>
      </c>
      <c r="B15" s="45"/>
      <c r="C15" s="65"/>
      <c r="D15" s="66"/>
      <c r="E15" s="52"/>
      <c r="F15" s="52"/>
      <c r="G15" s="52"/>
      <c r="H15" s="52"/>
      <c r="I15" s="52"/>
      <c r="J15" s="52"/>
      <c r="K15" s="52"/>
    </row>
    <row r="16" spans="1:11">
      <c r="A16" s="12"/>
      <c r="B16" s="12" t="s">
        <v>198</v>
      </c>
      <c r="C16" s="63">
        <v>67.561563767002198</v>
      </c>
      <c r="D16" s="64">
        <v>61.664896281327188</v>
      </c>
      <c r="E16" s="60">
        <v>64.400000000000006</v>
      </c>
      <c r="F16" s="51">
        <v>63.816583018882753</v>
      </c>
      <c r="G16" s="51">
        <v>63.891112538156356</v>
      </c>
      <c r="H16" s="51">
        <f>H7*100/H14</f>
        <v>66.651263897511626</v>
      </c>
      <c r="I16" s="51">
        <f>I7*100/I$14</f>
        <v>62.791634276842132</v>
      </c>
      <c r="J16" s="51">
        <f t="shared" ref="J16:K16" si="2">J7*100/J$14</f>
        <v>62.542539988670413</v>
      </c>
      <c r="K16" s="51">
        <f t="shared" si="2"/>
        <v>60.604327588068507</v>
      </c>
    </row>
    <row r="17" spans="1:11">
      <c r="B17" s="25" t="s">
        <v>197</v>
      </c>
      <c r="C17" s="65">
        <v>32.438436232997795</v>
      </c>
      <c r="D17" s="66">
        <v>38.335103718672819</v>
      </c>
      <c r="E17" s="52">
        <f t="shared" ref="E17:H17" si="3">SUM(E18:E22)</f>
        <v>35.614857253319748</v>
      </c>
      <c r="F17" s="52">
        <f t="shared" si="3"/>
        <v>36.183416981117261</v>
      </c>
      <c r="G17" s="52">
        <f t="shared" si="3"/>
        <v>36.108887461843651</v>
      </c>
      <c r="H17" s="52">
        <f t="shared" si="3"/>
        <v>33.348736102488367</v>
      </c>
      <c r="I17" s="52">
        <f t="shared" ref="I17:K23" si="4">I8*100/I$14</f>
        <v>37.208365723157883</v>
      </c>
      <c r="J17" s="52">
        <f t="shared" si="4"/>
        <v>37.457460011329587</v>
      </c>
      <c r="K17" s="52">
        <f t="shared" si="4"/>
        <v>39.395672411931493</v>
      </c>
    </row>
    <row r="18" spans="1:11">
      <c r="B18" s="25" t="s">
        <v>196</v>
      </c>
      <c r="C18" s="65">
        <v>5.0386701847764774</v>
      </c>
      <c r="D18" s="66">
        <v>6.6105900708729859</v>
      </c>
      <c r="E18" s="52">
        <v>7.347628820760769</v>
      </c>
      <c r="F18" s="52">
        <v>5.5414366025348301</v>
      </c>
      <c r="G18" s="52">
        <v>6.6071412862760281</v>
      </c>
      <c r="H18" s="52">
        <f t="shared" ref="H18:H22" si="5">H9*100/H$14</f>
        <v>8.4762153459310916</v>
      </c>
      <c r="I18" s="52">
        <f t="shared" si="4"/>
        <v>8.5486222332088193</v>
      </c>
      <c r="J18" s="52">
        <f t="shared" si="4"/>
        <v>9.1458581850057854</v>
      </c>
      <c r="K18" s="52">
        <f t="shared" si="4"/>
        <v>9.812274828356923</v>
      </c>
    </row>
    <row r="19" spans="1:11">
      <c r="B19" s="25" t="s">
        <v>195</v>
      </c>
      <c r="C19" s="65">
        <v>5.9659217813648695</v>
      </c>
      <c r="D19" s="66">
        <v>5.4476771968610924</v>
      </c>
      <c r="E19" s="52">
        <v>6.9012080717483721</v>
      </c>
      <c r="F19" s="52">
        <v>7.5592313454969524</v>
      </c>
      <c r="G19" s="52">
        <v>5.0475909814650279</v>
      </c>
      <c r="H19" s="52">
        <f t="shared" si="5"/>
        <v>4.7256295276618632</v>
      </c>
      <c r="I19" s="52">
        <f t="shared" si="4"/>
        <v>4.743154911836605</v>
      </c>
      <c r="J19" s="52">
        <f t="shared" si="4"/>
        <v>3.863177682328137</v>
      </c>
      <c r="K19" s="52">
        <f t="shared" si="4"/>
        <v>4.5917102164982735</v>
      </c>
    </row>
    <row r="20" spans="1:11">
      <c r="B20" s="25" t="s">
        <v>194</v>
      </c>
      <c r="C20" s="65">
        <v>4.9484208254939297</v>
      </c>
      <c r="D20" s="66">
        <v>4.7327581739986533</v>
      </c>
      <c r="E20" s="52">
        <v>3.3798651694030521</v>
      </c>
      <c r="F20" s="52">
        <v>4.3472910871818238</v>
      </c>
      <c r="G20" s="52">
        <v>3.6867176297755924</v>
      </c>
      <c r="H20" s="52">
        <f t="shared" si="5"/>
        <v>2.3367707102970852</v>
      </c>
      <c r="I20" s="52">
        <f t="shared" si="4"/>
        <v>2.8093131320355642</v>
      </c>
      <c r="J20" s="52">
        <f t="shared" si="4"/>
        <v>2.6237188583190583</v>
      </c>
      <c r="K20" s="52">
        <f t="shared" si="4"/>
        <v>3.0218030373221536</v>
      </c>
    </row>
    <row r="21" spans="1:11">
      <c r="B21" s="25" t="s">
        <v>193</v>
      </c>
      <c r="C21" s="65">
        <v>10.994295059377569</v>
      </c>
      <c r="D21" s="66">
        <v>13.387207742485218</v>
      </c>
      <c r="E21" s="52">
        <v>11.928048144256417</v>
      </c>
      <c r="F21" s="52">
        <v>11.862164609413661</v>
      </c>
      <c r="G21" s="52">
        <v>10.220932994361217</v>
      </c>
      <c r="H21" s="52">
        <f t="shared" si="5"/>
        <v>8.2885805644953496</v>
      </c>
      <c r="I21" s="52">
        <f t="shared" si="4"/>
        <v>9.9970245917319751</v>
      </c>
      <c r="J21" s="52">
        <f t="shared" si="4"/>
        <v>9.0871099123965031</v>
      </c>
      <c r="K21" s="52">
        <f t="shared" si="4"/>
        <v>9.258506539326266</v>
      </c>
    </row>
    <row r="22" spans="1:11">
      <c r="B22" s="25" t="s">
        <v>192</v>
      </c>
      <c r="C22" s="65">
        <v>5.4911283819849555</v>
      </c>
      <c r="D22" s="66">
        <v>8.1568705344548658</v>
      </c>
      <c r="E22" s="52">
        <v>6.0581070471511422</v>
      </c>
      <c r="F22" s="52">
        <v>6.8732933364899953</v>
      </c>
      <c r="G22" s="52">
        <v>10.546504569965782</v>
      </c>
      <c r="H22" s="52">
        <f t="shared" si="5"/>
        <v>9.521539954102975</v>
      </c>
      <c r="I22" s="52">
        <f t="shared" si="4"/>
        <v>11.110250854344912</v>
      </c>
      <c r="J22" s="52">
        <f t="shared" si="4"/>
        <v>12.737595373280099</v>
      </c>
      <c r="K22" s="52">
        <f t="shared" si="4"/>
        <v>12.711377790427873</v>
      </c>
    </row>
    <row r="23" spans="1:11">
      <c r="A23" s="14"/>
      <c r="B23" s="14" t="s">
        <v>191</v>
      </c>
      <c r="C23" s="67">
        <v>100</v>
      </c>
      <c r="D23" s="68">
        <v>100</v>
      </c>
      <c r="E23" s="61">
        <v>100</v>
      </c>
      <c r="F23" s="53">
        <v>100</v>
      </c>
      <c r="G23" s="53">
        <v>100</v>
      </c>
      <c r="H23" s="53">
        <f>H16+H17</f>
        <v>100</v>
      </c>
      <c r="I23" s="53">
        <f t="shared" si="4"/>
        <v>100</v>
      </c>
      <c r="J23" s="53">
        <f t="shared" si="4"/>
        <v>100</v>
      </c>
      <c r="K23" s="53">
        <f t="shared" si="4"/>
        <v>99.999999999999986</v>
      </c>
    </row>
    <row r="24" spans="1:11" ht="3.95" customHeight="1">
      <c r="C24" s="49"/>
      <c r="D24" s="49"/>
      <c r="E24" s="49"/>
      <c r="F24" s="49"/>
      <c r="G24" s="49"/>
    </row>
    <row r="25" spans="1:11">
      <c r="A25" s="25" t="s">
        <v>233</v>
      </c>
    </row>
    <row r="26" spans="1:11" ht="3.95" customHeight="1"/>
    <row r="27" spans="1:11">
      <c r="A27" s="25" t="s">
        <v>18</v>
      </c>
      <c r="B27" s="50"/>
      <c r="C27" s="49"/>
      <c r="D27" s="49"/>
      <c r="E27" s="49"/>
      <c r="F27" s="49"/>
      <c r="G27" s="49"/>
    </row>
    <row r="28" spans="1:11">
      <c r="A28" s="54" t="s">
        <v>266</v>
      </c>
      <c r="C28" s="49"/>
      <c r="D28" s="49"/>
      <c r="E28" s="49"/>
      <c r="F28" s="49"/>
      <c r="G28" s="49"/>
    </row>
    <row r="29" spans="1:11">
      <c r="A29" s="54" t="s">
        <v>267</v>
      </c>
      <c r="C29" s="49"/>
      <c r="D29" s="49"/>
      <c r="E29" s="49"/>
      <c r="F29" s="49"/>
      <c r="G29" s="49"/>
    </row>
    <row r="30" spans="1:11">
      <c r="C30" s="49"/>
      <c r="D30" s="49"/>
      <c r="E30" s="49"/>
      <c r="F30" s="49"/>
      <c r="G30" s="49"/>
    </row>
    <row r="31" spans="1:11">
      <c r="C31" s="49"/>
      <c r="D31" s="49"/>
      <c r="E31" s="49"/>
      <c r="F31" s="49"/>
      <c r="G31" s="49"/>
    </row>
    <row r="32" spans="1:11">
      <c r="C32" s="49"/>
      <c r="D32" s="49"/>
      <c r="E32" s="49"/>
      <c r="F32" s="49"/>
      <c r="G32" s="49"/>
    </row>
    <row r="33" spans="3:7">
      <c r="C33" s="49"/>
      <c r="D33" s="49"/>
      <c r="E33" s="49"/>
      <c r="F33" s="49"/>
      <c r="G33" s="49"/>
    </row>
    <row r="34" spans="3:7">
      <c r="C34" s="49"/>
      <c r="D34" s="49"/>
      <c r="E34" s="49"/>
      <c r="F34" s="49"/>
      <c r="G34" s="49"/>
    </row>
  </sheetData>
  <mergeCells count="5">
    <mergeCell ref="C3:E3"/>
    <mergeCell ref="C4:D4"/>
    <mergeCell ref="C6:D6"/>
    <mergeCell ref="E6:G6"/>
    <mergeCell ref="E4:K4"/>
  </mergeCells>
  <pageMargins left="0.74803149606299213" right="0.74803149606299213" top="0.98425196850393704" bottom="0.98425196850393704" header="0" footer="0"/>
  <pageSetup paperSize="9" orientation="landscape" r:id="rId1"/>
  <headerFooter alignWithMargins="0"/>
  <ignoredErrors>
    <ignoredError sqref="E17:F17 G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A39B0-F6C4-4147-83F8-CF96C0A0A8A1}">
  <sheetPr codeName="Hoja7">
    <pageSetUpPr fitToPage="1"/>
  </sheetPr>
  <dimension ref="A1:K20"/>
  <sheetViews>
    <sheetView showGridLines="0" zoomScaleNormal="100" workbookViewId="0">
      <selection sqref="A1:K20"/>
    </sheetView>
  </sheetViews>
  <sheetFormatPr baseColWidth="10" defaultColWidth="11.1796875" defaultRowHeight="16.5"/>
  <cols>
    <col min="1" max="1" width="1.81640625" style="25" customWidth="1"/>
    <col min="2" max="2" width="23.81640625" style="25" customWidth="1"/>
    <col min="3" max="11" width="8.6328125" style="25" customWidth="1"/>
    <col min="12" max="16384" width="11.1796875" style="25"/>
  </cols>
  <sheetData>
    <row r="1" spans="1:11">
      <c r="A1" s="25" t="s">
        <v>7</v>
      </c>
    </row>
    <row r="2" spans="1:11">
      <c r="A2" s="45" t="s">
        <v>211</v>
      </c>
    </row>
    <row r="3" spans="1:11">
      <c r="A3" s="25" t="s">
        <v>202</v>
      </c>
    </row>
    <row r="4" spans="1:11">
      <c r="A4" s="45"/>
    </row>
    <row r="5" spans="1:11" ht="15" customHeight="1">
      <c r="C5" s="319" t="s">
        <v>201</v>
      </c>
      <c r="D5" s="320"/>
      <c r="E5" s="321" t="s">
        <v>200</v>
      </c>
      <c r="F5" s="322"/>
      <c r="G5" s="322"/>
      <c r="H5" s="322"/>
      <c r="I5" s="322"/>
      <c r="J5" s="322"/>
      <c r="K5" s="322"/>
    </row>
    <row r="6" spans="1:11">
      <c r="A6" s="14"/>
      <c r="B6" s="14"/>
      <c r="C6" s="15">
        <v>1995</v>
      </c>
      <c r="D6" s="62">
        <v>2000</v>
      </c>
      <c r="E6" s="16">
        <v>2000</v>
      </c>
      <c r="F6" s="10">
        <v>2008</v>
      </c>
      <c r="G6" s="10">
        <v>2010</v>
      </c>
      <c r="H6" s="10">
        <v>2015</v>
      </c>
      <c r="I6" s="10">
        <v>2018</v>
      </c>
      <c r="J6" s="10">
        <v>2019</v>
      </c>
      <c r="K6" s="16">
        <v>2020</v>
      </c>
    </row>
    <row r="7" spans="1:11">
      <c r="A7" s="12"/>
      <c r="B7" s="12" t="s">
        <v>198</v>
      </c>
      <c r="C7" s="71">
        <v>182.374</v>
      </c>
      <c r="D7" s="72">
        <v>133.34100000000001</v>
      </c>
      <c r="E7" s="69">
        <v>119.91</v>
      </c>
      <c r="F7" s="57">
        <v>58.768000000000001</v>
      </c>
      <c r="G7" s="57">
        <v>56.676000000000002</v>
      </c>
      <c r="H7" s="57">
        <v>37.966000000000001</v>
      </c>
      <c r="I7" s="57">
        <v>44.588000000000001</v>
      </c>
      <c r="J7" s="57">
        <v>41.521000000000001</v>
      </c>
      <c r="K7" s="57">
        <v>38.695</v>
      </c>
    </row>
    <row r="8" spans="1:11">
      <c r="B8" s="25" t="s">
        <v>197</v>
      </c>
      <c r="C8" s="73">
        <v>16.262</v>
      </c>
      <c r="D8" s="74">
        <v>18.576000000000001</v>
      </c>
      <c r="E8" s="58">
        <v>16.300999999999998</v>
      </c>
      <c r="F8" s="58">
        <v>19.904</v>
      </c>
      <c r="G8" s="58">
        <v>20.119</v>
      </c>
      <c r="H8" s="58">
        <v>18.37</v>
      </c>
      <c r="I8" s="58">
        <f>SUM(I9:I13)</f>
        <v>20.596</v>
      </c>
      <c r="J8" s="58">
        <f>SUM(J9:J13)</f>
        <v>20.983000000000001</v>
      </c>
      <c r="K8" s="58">
        <f>SUM(K9:K13)</f>
        <v>20.587</v>
      </c>
    </row>
    <row r="9" spans="1:11">
      <c r="B9" s="25" t="s">
        <v>196</v>
      </c>
      <c r="C9" s="73">
        <v>2.464</v>
      </c>
      <c r="D9" s="74">
        <v>2.8580000000000001</v>
      </c>
      <c r="E9" s="58">
        <v>4.3</v>
      </c>
      <c r="F9" s="58">
        <v>5.4340000000000002</v>
      </c>
      <c r="G9" s="58">
        <v>5.3170000000000002</v>
      </c>
      <c r="H9" s="58">
        <v>4.4130000000000003</v>
      </c>
      <c r="I9" s="58">
        <v>4.8369999999999997</v>
      </c>
      <c r="J9" s="58">
        <v>4.6500000000000004</v>
      </c>
      <c r="K9" s="58">
        <v>4.665</v>
      </c>
    </row>
    <row r="10" spans="1:11">
      <c r="B10" s="25" t="s">
        <v>195</v>
      </c>
      <c r="C10" s="73">
        <v>1.784</v>
      </c>
      <c r="D10" s="74">
        <v>1.6719999999999999</v>
      </c>
      <c r="E10" s="58">
        <v>1.861</v>
      </c>
      <c r="F10" s="58">
        <v>2.0539999999999998</v>
      </c>
      <c r="G10" s="58">
        <v>2.0339999999999998</v>
      </c>
      <c r="H10" s="58">
        <v>1.8740000000000001</v>
      </c>
      <c r="I10" s="58">
        <v>2.1680000000000001</v>
      </c>
      <c r="J10" s="58">
        <v>2.2450000000000001</v>
      </c>
      <c r="K10" s="58">
        <v>2.4470000000000001</v>
      </c>
    </row>
    <row r="11" spans="1:11">
      <c r="B11" s="25" t="s">
        <v>194</v>
      </c>
      <c r="C11" s="73">
        <v>1.339</v>
      </c>
      <c r="D11" s="74">
        <v>1.2170000000000001</v>
      </c>
      <c r="E11" s="58">
        <v>1.3819999999999999</v>
      </c>
      <c r="F11" s="58">
        <v>1.5589999999999999</v>
      </c>
      <c r="G11" s="58">
        <v>1.488</v>
      </c>
      <c r="H11" s="58">
        <v>1.24</v>
      </c>
      <c r="I11" s="58">
        <v>1.514</v>
      </c>
      <c r="J11" s="58">
        <v>1.601</v>
      </c>
      <c r="K11" s="58">
        <v>1.6180000000000001</v>
      </c>
    </row>
    <row r="12" spans="1:11">
      <c r="B12" s="25" t="s">
        <v>193</v>
      </c>
      <c r="C12" s="73">
        <v>9.0950000000000006</v>
      </c>
      <c r="D12" s="74">
        <v>10.92</v>
      </c>
      <c r="E12" s="58">
        <v>6.8689999999999998</v>
      </c>
      <c r="F12" s="58">
        <v>7.9539999999999997</v>
      </c>
      <c r="G12" s="58">
        <v>8.3970000000000002</v>
      </c>
      <c r="H12" s="58">
        <v>8.2370000000000001</v>
      </c>
      <c r="I12" s="58">
        <v>9.2159999999999993</v>
      </c>
      <c r="J12" s="58">
        <v>9.4760000000000009</v>
      </c>
      <c r="K12" s="58">
        <v>8.8290000000000006</v>
      </c>
    </row>
    <row r="13" spans="1:11">
      <c r="B13" s="25" t="s">
        <v>192</v>
      </c>
      <c r="C13" s="73">
        <v>1.58</v>
      </c>
      <c r="D13" s="74">
        <v>1.909</v>
      </c>
      <c r="E13" s="58">
        <v>1.889</v>
      </c>
      <c r="F13" s="58">
        <v>2.903</v>
      </c>
      <c r="G13" s="58">
        <v>2.883</v>
      </c>
      <c r="H13" s="58">
        <v>2.6059999999999999</v>
      </c>
      <c r="I13" s="58">
        <v>2.8610000000000002</v>
      </c>
      <c r="J13" s="58">
        <v>3.0110000000000001</v>
      </c>
      <c r="K13" s="58">
        <v>3.028</v>
      </c>
    </row>
    <row r="14" spans="1:11">
      <c r="A14" s="14"/>
      <c r="B14" s="14" t="s">
        <v>191</v>
      </c>
      <c r="C14" s="75">
        <v>198.636</v>
      </c>
      <c r="D14" s="76">
        <v>151.917</v>
      </c>
      <c r="E14" s="70">
        <v>136.21100000000001</v>
      </c>
      <c r="F14" s="59">
        <v>78.671999999999997</v>
      </c>
      <c r="G14" s="59">
        <v>76.795000000000002</v>
      </c>
      <c r="H14" s="59">
        <v>56.335999999999999</v>
      </c>
      <c r="I14" s="59">
        <f>I7+I8</f>
        <v>65.183999999999997</v>
      </c>
      <c r="J14" s="59">
        <f>J7+J8</f>
        <v>62.504000000000005</v>
      </c>
      <c r="K14" s="59">
        <f>K7+K8</f>
        <v>59.281999999999996</v>
      </c>
    </row>
    <row r="15" spans="1:11" ht="3.95" customHeight="1"/>
    <row r="16" spans="1:11">
      <c r="A16" s="25" t="s">
        <v>233</v>
      </c>
      <c r="C16" s="56"/>
      <c r="D16" s="56"/>
      <c r="E16" s="56"/>
    </row>
    <row r="17" spans="1:1" ht="3.95" customHeight="1"/>
    <row r="18" spans="1:1">
      <c r="A18" s="25" t="s">
        <v>18</v>
      </c>
    </row>
    <row r="19" spans="1:1">
      <c r="A19" s="54" t="s">
        <v>266</v>
      </c>
    </row>
    <row r="20" spans="1:1">
      <c r="A20" s="54" t="s">
        <v>267</v>
      </c>
    </row>
  </sheetData>
  <mergeCells count="2">
    <mergeCell ref="C5:D5"/>
    <mergeCell ref="E5:K5"/>
  </mergeCells>
  <pageMargins left="0.35433070866141736" right="0.35433070866141736" top="0.98425196850393704" bottom="0.98425196850393704" header="0" footer="0"/>
  <pageSetup paperSize="9" orientation="landscape" r:id="rId1"/>
  <headerFooter alignWithMargins="0"/>
  <ignoredErrors>
    <ignoredError sqref="K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85BC5-4A47-493F-A601-6EC01354CA35}">
  <sheetPr codeName="Hoja8">
    <pageSetUpPr fitToPage="1"/>
  </sheetPr>
  <dimension ref="A1:K29"/>
  <sheetViews>
    <sheetView showGridLines="0" zoomScaleNormal="100" workbookViewId="0">
      <selection sqref="A1:K29"/>
    </sheetView>
  </sheetViews>
  <sheetFormatPr baseColWidth="10" defaultColWidth="11.1796875" defaultRowHeight="16.5"/>
  <cols>
    <col min="1" max="1" width="0.7265625" style="25" customWidth="1"/>
    <col min="2" max="2" width="24.26953125" style="25" customWidth="1"/>
    <col min="3" max="11" width="8.6328125" style="25" customWidth="1"/>
    <col min="12" max="16384" width="11.1796875" style="25"/>
  </cols>
  <sheetData>
    <row r="1" spans="1:11">
      <c r="A1" s="25" t="s">
        <v>1</v>
      </c>
    </row>
    <row r="2" spans="1:11">
      <c r="A2" s="45" t="s">
        <v>270</v>
      </c>
    </row>
    <row r="3" spans="1:11">
      <c r="C3" s="314"/>
      <c r="D3" s="314"/>
      <c r="E3" s="314"/>
      <c r="F3" s="314"/>
      <c r="G3" s="314"/>
    </row>
    <row r="4" spans="1:11">
      <c r="C4" s="309" t="s">
        <v>201</v>
      </c>
      <c r="D4" s="315"/>
      <c r="E4" s="310" t="s">
        <v>200</v>
      </c>
      <c r="F4" s="318"/>
      <c r="G4" s="318"/>
      <c r="H4" s="318"/>
      <c r="I4" s="318"/>
      <c r="J4" s="318"/>
      <c r="K4" s="318"/>
    </row>
    <row r="5" spans="1:11">
      <c r="A5" s="14"/>
      <c r="B5" s="14"/>
      <c r="C5" s="15">
        <v>1995</v>
      </c>
      <c r="D5" s="62">
        <v>2000</v>
      </c>
      <c r="E5" s="16">
        <v>2000</v>
      </c>
      <c r="F5" s="10">
        <v>2008</v>
      </c>
      <c r="G5" s="10">
        <v>2010</v>
      </c>
      <c r="H5" s="10">
        <v>2015</v>
      </c>
      <c r="I5" s="10">
        <v>2018</v>
      </c>
      <c r="J5" s="10">
        <v>2019</v>
      </c>
      <c r="K5" s="10">
        <v>2020</v>
      </c>
    </row>
    <row r="6" spans="1:11" ht="20.100000000000001" customHeight="1">
      <c r="A6" s="323" t="s">
        <v>204</v>
      </c>
      <c r="B6" s="323"/>
      <c r="C6" s="56"/>
      <c r="D6" s="56"/>
    </row>
    <row r="7" spans="1:11">
      <c r="A7" s="12"/>
      <c r="B7" s="12" t="s">
        <v>198</v>
      </c>
      <c r="C7" s="77">
        <v>3.7260637100720131</v>
      </c>
      <c r="D7" s="78">
        <v>2.5451981181269376</v>
      </c>
      <c r="E7" s="79">
        <v>3.6596125648522646</v>
      </c>
      <c r="F7" s="80">
        <v>3.1890748985646282</v>
      </c>
      <c r="G7" s="80">
        <v>2.8380601891781598</v>
      </c>
      <c r="H7" s="80">
        <v>3.8390771829512254</v>
      </c>
      <c r="I7" s="80">
        <v>3.2133060502058584</v>
      </c>
      <c r="J7" s="80">
        <v>3.5008772071781604</v>
      </c>
      <c r="K7" s="80">
        <v>3.4193621248044743</v>
      </c>
    </row>
    <row r="8" spans="1:11">
      <c r="B8" s="25" t="s">
        <v>197</v>
      </c>
      <c r="C8" s="81">
        <v>1.7890006287612201</v>
      </c>
      <c r="D8" s="82">
        <v>1.5822686767821976</v>
      </c>
      <c r="E8" s="83">
        <v>1.8801642572547561</v>
      </c>
      <c r="F8" s="83">
        <v>1.6954739298636055</v>
      </c>
      <c r="G8" s="83">
        <v>1.4862157144682828</v>
      </c>
      <c r="H8" s="83">
        <v>1.9208693783840562</v>
      </c>
      <c r="I8" s="83">
        <v>1.9041050304465561</v>
      </c>
      <c r="J8" s="83">
        <v>2.0967163792229426</v>
      </c>
      <c r="K8" s="83">
        <v>2.2227467160791297</v>
      </c>
    </row>
    <row r="9" spans="1:11">
      <c r="B9" s="25" t="s">
        <v>196</v>
      </c>
      <c r="C9" s="81">
        <v>0.2778859025120301</v>
      </c>
      <c r="D9" s="82">
        <v>0.27284991012284276</v>
      </c>
      <c r="E9" s="83">
        <v>0.43886186980977726</v>
      </c>
      <c r="F9" s="83">
        <v>0.32865219071889723</v>
      </c>
      <c r="G9" s="83">
        <v>0.34491775855799345</v>
      </c>
      <c r="H9" s="83">
        <v>0.48822547434933139</v>
      </c>
      <c r="I9" s="83">
        <v>0.43746814140534401</v>
      </c>
      <c r="J9" s="83">
        <v>0.51194797118522417</v>
      </c>
      <c r="K9" s="83">
        <v>0.55361922558252263</v>
      </c>
    </row>
    <row r="10" spans="1:11">
      <c r="B10" s="25" t="s">
        <v>195</v>
      </c>
      <c r="C10" s="81">
        <v>0.32902442464673831</v>
      </c>
      <c r="D10" s="82">
        <v>0.22485106739427835</v>
      </c>
      <c r="E10" s="83">
        <v>0.35359677054393052</v>
      </c>
      <c r="F10" s="83">
        <v>0.34111248275966621</v>
      </c>
      <c r="G10" s="83">
        <v>0.19152922716751977</v>
      </c>
      <c r="H10" s="83">
        <v>0.2721937354800042</v>
      </c>
      <c r="I10" s="83">
        <v>0.24272673503083567</v>
      </c>
      <c r="J10" s="83">
        <v>0.21624498617727855</v>
      </c>
      <c r="K10" s="83">
        <v>0.25906928807280477</v>
      </c>
    </row>
    <row r="11" spans="1:11">
      <c r="B11" s="25" t="s">
        <v>194</v>
      </c>
      <c r="C11" s="81">
        <v>0.27290859228221281</v>
      </c>
      <c r="D11" s="82">
        <v>0.19534302211514229</v>
      </c>
      <c r="E11" s="83">
        <v>0.17469736138356148</v>
      </c>
      <c r="F11" s="83">
        <v>0.2016073776732592</v>
      </c>
      <c r="G11" s="83">
        <v>0.1514514957002438</v>
      </c>
      <c r="H11" s="83">
        <v>0.13459674417404702</v>
      </c>
      <c r="I11" s="83">
        <v>0.14376410150901137</v>
      </c>
      <c r="J11" s="83">
        <v>0.14686511853846385</v>
      </c>
      <c r="K11" s="83">
        <v>0.17049341632284251</v>
      </c>
    </row>
    <row r="12" spans="1:11">
      <c r="B12" s="25" t="s">
        <v>193</v>
      </c>
      <c r="C12" s="81">
        <v>0.60634244612583632</v>
      </c>
      <c r="D12" s="82">
        <v>0.55255255433658224</v>
      </c>
      <c r="E12" s="83">
        <v>0.62464946596729787</v>
      </c>
      <c r="F12" s="83">
        <v>0.53731781848689042</v>
      </c>
      <c r="G12" s="83">
        <v>0.4032912165695422</v>
      </c>
      <c r="H12" s="83">
        <v>0.4774178112081543</v>
      </c>
      <c r="I12" s="83">
        <v>0.5115888441928389</v>
      </c>
      <c r="J12" s="83">
        <v>0.50865948164552555</v>
      </c>
      <c r="K12" s="83">
        <v>0.52237501598911384</v>
      </c>
    </row>
    <row r="13" spans="1:11">
      <c r="B13" s="25" t="s">
        <v>192</v>
      </c>
      <c r="C13" s="81">
        <v>0.30283926319440263</v>
      </c>
      <c r="D13" s="82">
        <v>0.33667212281335185</v>
      </c>
      <c r="E13" s="83">
        <v>0.28835878955018901</v>
      </c>
      <c r="F13" s="83">
        <v>0.28678406022489239</v>
      </c>
      <c r="G13" s="83">
        <v>0.39502601647298369</v>
      </c>
      <c r="H13" s="83">
        <v>0.54843561317251932</v>
      </c>
      <c r="I13" s="83">
        <v>0.56855720830852607</v>
      </c>
      <c r="J13" s="83">
        <v>0.71299882167645057</v>
      </c>
      <c r="K13" s="83">
        <v>0.71718977011184615</v>
      </c>
    </row>
    <row r="14" spans="1:11">
      <c r="A14" s="14"/>
      <c r="B14" s="14" t="s">
        <v>191</v>
      </c>
      <c r="C14" s="84">
        <v>5.5150643388332332</v>
      </c>
      <c r="D14" s="85">
        <v>4.1274667949091342</v>
      </c>
      <c r="E14" s="86">
        <f t="shared" ref="E14:H14" si="0">E7+E8</f>
        <v>5.5397768221070205</v>
      </c>
      <c r="F14" s="87">
        <f t="shared" si="0"/>
        <v>4.8845488284282332</v>
      </c>
      <c r="G14" s="87">
        <f t="shared" si="0"/>
        <v>4.3242759036464431</v>
      </c>
      <c r="H14" s="87">
        <f t="shared" si="0"/>
        <v>5.7599465613352816</v>
      </c>
      <c r="I14" s="87">
        <v>5.1174110806524142</v>
      </c>
      <c r="J14" s="87">
        <v>5.5975935864011035</v>
      </c>
      <c r="K14" s="87">
        <v>5.642108840883604</v>
      </c>
    </row>
    <row r="15" spans="1:11" ht="20.100000000000001" customHeight="1">
      <c r="A15" s="323" t="s">
        <v>203</v>
      </c>
      <c r="B15" s="323"/>
      <c r="C15" s="83"/>
      <c r="D15" s="83"/>
      <c r="E15" s="83"/>
      <c r="F15" s="83"/>
      <c r="G15" s="83"/>
      <c r="H15" s="83"/>
      <c r="I15" s="83"/>
      <c r="J15" s="83"/>
      <c r="K15" s="83"/>
    </row>
    <row r="16" spans="1:11">
      <c r="A16" s="12"/>
      <c r="B16" s="12" t="s">
        <v>198</v>
      </c>
      <c r="C16" s="77">
        <v>18.251015257382004</v>
      </c>
      <c r="D16" s="78">
        <v>12.28996882828644</v>
      </c>
      <c r="E16" s="79">
        <v>11.565426983295669</v>
      </c>
      <c r="F16" s="80">
        <v>4.9836839641522106</v>
      </c>
      <c r="G16" s="80">
        <v>5.2731572885052325</v>
      </c>
      <c r="H16" s="80">
        <v>3.993327274869154</v>
      </c>
      <c r="I16" s="80">
        <v>4.4375529962539364</v>
      </c>
      <c r="J16" s="80">
        <v>4.0238946912423286</v>
      </c>
      <c r="K16" s="80">
        <v>4.0906789184411974</v>
      </c>
    </row>
    <row r="17" spans="1:11">
      <c r="B17" s="25" t="s">
        <v>197</v>
      </c>
      <c r="C17" s="81">
        <v>1.6274140508819579</v>
      </c>
      <c r="D17" s="82">
        <v>1.7121400091063432</v>
      </c>
      <c r="E17" s="83">
        <v>1.5722460616687739</v>
      </c>
      <c r="F17" s="83">
        <v>1.6879125650436564</v>
      </c>
      <c r="G17" s="83">
        <v>1.8718796578346526</v>
      </c>
      <c r="H17" s="83">
        <v>1.9321872738594099</v>
      </c>
      <c r="I17" s="83">
        <v>2.0497856264206975</v>
      </c>
      <c r="J17" s="83">
        <v>2.033510327456896</v>
      </c>
      <c r="K17" s="83">
        <v>2.17637438671531</v>
      </c>
    </row>
    <row r="18" spans="1:11">
      <c r="B18" s="25" t="s">
        <v>196</v>
      </c>
      <c r="C18" s="81">
        <v>0.24658395162791444</v>
      </c>
      <c r="D18" s="82">
        <v>0.26342033516504787</v>
      </c>
      <c r="E18" s="83">
        <v>0.41473885437554314</v>
      </c>
      <c r="F18" s="83">
        <v>0.46081776921459144</v>
      </c>
      <c r="G18" s="83">
        <v>0.49469576722038117</v>
      </c>
      <c r="H18" s="83">
        <v>0.46416670873933458</v>
      </c>
      <c r="I18" s="83">
        <v>0.48139508035525902</v>
      </c>
      <c r="J18" s="83">
        <v>0.45064209229731522</v>
      </c>
      <c r="K18" s="83">
        <v>0.49316493486311369</v>
      </c>
    </row>
    <row r="19" spans="1:11">
      <c r="B19" s="25" t="s">
        <v>195</v>
      </c>
      <c r="C19" s="81">
        <v>0.1785331857565744</v>
      </c>
      <c r="D19" s="82">
        <v>0.15410734793420572</v>
      </c>
      <c r="E19" s="83">
        <v>0.17949511813788041</v>
      </c>
      <c r="F19" s="83">
        <v>0.17418470702369723</v>
      </c>
      <c r="G19" s="83">
        <v>0.18924415845895337</v>
      </c>
      <c r="H19" s="83">
        <v>0.19711044916780263</v>
      </c>
      <c r="I19" s="83">
        <v>0.21576690804428397</v>
      </c>
      <c r="J19" s="83">
        <v>0.21756806391558553</v>
      </c>
      <c r="K19" s="83">
        <v>0.25868694439657863</v>
      </c>
    </row>
    <row r="20" spans="1:11">
      <c r="B20" s="25" t="s">
        <v>194</v>
      </c>
      <c r="C20" s="81">
        <v>0.13399996397312394</v>
      </c>
      <c r="D20" s="82">
        <v>0.11217024069134472</v>
      </c>
      <c r="E20" s="83">
        <v>0.13329513877837224</v>
      </c>
      <c r="F20" s="83">
        <v>0.13220737986852191</v>
      </c>
      <c r="G20" s="83">
        <v>0.13844410412336414</v>
      </c>
      <c r="H20" s="83">
        <v>0.13042527052725467</v>
      </c>
      <c r="I20" s="83">
        <v>0.1506785510973459</v>
      </c>
      <c r="J20" s="83">
        <v>0.15515655693935521</v>
      </c>
      <c r="K20" s="83">
        <v>0.17104841685070052</v>
      </c>
    </row>
    <row r="21" spans="1:11">
      <c r="B21" s="25" t="s">
        <v>193</v>
      </c>
      <c r="C21" s="81">
        <v>0.91017899352917286</v>
      </c>
      <c r="D21" s="82">
        <v>1.0064905738286642</v>
      </c>
      <c r="E21" s="83">
        <v>0.66252120714083851</v>
      </c>
      <c r="F21" s="83">
        <v>0.67452052564093856</v>
      </c>
      <c r="G21" s="83">
        <v>0.78126017629293587</v>
      </c>
      <c r="H21" s="83">
        <v>0.86638141397822321</v>
      </c>
      <c r="I21" s="83">
        <v>0.91720840615134736</v>
      </c>
      <c r="J21" s="83">
        <v>0.91834074550738909</v>
      </c>
      <c r="K21" s="83">
        <v>0.93336617575700553</v>
      </c>
    </row>
    <row r="22" spans="1:11">
      <c r="B22" s="25" t="s">
        <v>192</v>
      </c>
      <c r="C22" s="81">
        <v>0.15811795599517239</v>
      </c>
      <c r="D22" s="82">
        <v>0.1759515114870806</v>
      </c>
      <c r="E22" s="83">
        <v>0.18219574323613977</v>
      </c>
      <c r="F22" s="83">
        <v>0.24618218329590708</v>
      </c>
      <c r="G22" s="83">
        <v>0.26823545173901803</v>
      </c>
      <c r="H22" s="83">
        <v>0.27410343144679489</v>
      </c>
      <c r="I22" s="83">
        <v>0.28473668077246145</v>
      </c>
      <c r="J22" s="83">
        <v>0.29180286879725081</v>
      </c>
      <c r="K22" s="83">
        <v>0.32010791484791173</v>
      </c>
    </row>
    <row r="23" spans="1:11">
      <c r="A23" s="14"/>
      <c r="B23" s="14" t="s">
        <v>191</v>
      </c>
      <c r="C23" s="84">
        <v>19.878429308263964</v>
      </c>
      <c r="D23" s="85">
        <v>14.002108837392784</v>
      </c>
      <c r="E23" s="86">
        <v>13.137673044964446</v>
      </c>
      <c r="F23" s="87">
        <v>6.6715965291958668</v>
      </c>
      <c r="G23" s="87">
        <v>7.1450369463398848</v>
      </c>
      <c r="H23" s="87">
        <v>5.9255145487285636</v>
      </c>
      <c r="I23" s="87">
        <v>6.4873386226746339</v>
      </c>
      <c r="J23" s="87">
        <v>6.0574050186992237</v>
      </c>
      <c r="K23" s="87">
        <v>6.2670533051565069</v>
      </c>
    </row>
    <row r="24" spans="1:11" ht="3.95" customHeight="1"/>
    <row r="25" spans="1:11">
      <c r="A25" s="25" t="s">
        <v>233</v>
      </c>
    </row>
    <row r="26" spans="1:11" ht="3.95" customHeight="1"/>
    <row r="27" spans="1:11">
      <c r="A27" s="25" t="s">
        <v>18</v>
      </c>
    </row>
    <row r="28" spans="1:11">
      <c r="A28" s="50" t="s">
        <v>268</v>
      </c>
    </row>
    <row r="29" spans="1:11">
      <c r="A29" s="50" t="s">
        <v>269</v>
      </c>
    </row>
  </sheetData>
  <mergeCells count="5">
    <mergeCell ref="C3:G3"/>
    <mergeCell ref="C4:D4"/>
    <mergeCell ref="A6:B6"/>
    <mergeCell ref="A15:B15"/>
    <mergeCell ref="E4:K4"/>
  </mergeCells>
  <pageMargins left="0.74803149606299213" right="0.74803149606299213" top="0.98425196850393704" bottom="0.98425196850393704" header="0" footer="0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4A93E-B57C-4B28-AD50-026747FF2E14}">
  <sheetPr codeName="Hoja9">
    <pageSetUpPr fitToPage="1"/>
  </sheetPr>
  <dimension ref="A1:K26"/>
  <sheetViews>
    <sheetView showGridLines="0" workbookViewId="0">
      <selection sqref="A1:K26"/>
    </sheetView>
  </sheetViews>
  <sheetFormatPr baseColWidth="10" defaultColWidth="11.1796875" defaultRowHeight="16.5"/>
  <cols>
    <col min="1" max="1" width="2.1796875" style="25" customWidth="1"/>
    <col min="2" max="2" width="24.54296875" style="25" customWidth="1"/>
    <col min="3" max="11" width="8.453125" style="25" customWidth="1"/>
    <col min="12" max="16384" width="11.1796875" style="25"/>
  </cols>
  <sheetData>
    <row r="1" spans="1:11">
      <c r="A1" s="25" t="s">
        <v>8</v>
      </c>
    </row>
    <row r="2" spans="1:11">
      <c r="A2" s="45" t="s">
        <v>273</v>
      </c>
    </row>
    <row r="4" spans="1:11">
      <c r="A4" s="55" t="s">
        <v>271</v>
      </c>
      <c r="C4" s="324" t="s">
        <v>201</v>
      </c>
      <c r="D4" s="325"/>
      <c r="E4" s="310" t="s">
        <v>200</v>
      </c>
      <c r="F4" s="318"/>
      <c r="G4" s="318"/>
      <c r="H4" s="318"/>
      <c r="I4" s="318"/>
      <c r="J4" s="318"/>
      <c r="K4" s="318"/>
    </row>
    <row r="5" spans="1:11">
      <c r="A5" s="14"/>
      <c r="B5" s="14"/>
      <c r="C5" s="15">
        <v>1995</v>
      </c>
      <c r="D5" s="62">
        <v>2000</v>
      </c>
      <c r="E5" s="16">
        <v>2000</v>
      </c>
      <c r="F5" s="10">
        <v>2008</v>
      </c>
      <c r="G5" s="10">
        <v>2010</v>
      </c>
      <c r="H5" s="10">
        <v>2015</v>
      </c>
      <c r="I5" s="10">
        <v>2018</v>
      </c>
      <c r="J5" s="10">
        <v>2019</v>
      </c>
      <c r="K5" s="16">
        <v>2020</v>
      </c>
    </row>
    <row r="6" spans="1:11" ht="20.100000000000001" customHeight="1">
      <c r="A6" s="326" t="s">
        <v>210</v>
      </c>
      <c r="B6" s="326"/>
      <c r="C6" s="56"/>
      <c r="D6" s="56"/>
    </row>
    <row r="7" spans="1:11" ht="49.5">
      <c r="A7" s="12"/>
      <c r="B7" s="11" t="s">
        <v>208</v>
      </c>
      <c r="C7" s="91">
        <v>182.48</v>
      </c>
      <c r="D7" s="92">
        <v>245.81899999999999</v>
      </c>
      <c r="E7" s="93">
        <v>342.43099999999998</v>
      </c>
      <c r="F7" s="94">
        <v>437.32299999999998</v>
      </c>
      <c r="G7" s="94">
        <v>394.64800000000002</v>
      </c>
      <c r="H7" s="94">
        <v>394.84</v>
      </c>
      <c r="I7" s="94">
        <v>417.13900000000001</v>
      </c>
      <c r="J7" s="94">
        <v>397.13</v>
      </c>
      <c r="K7" s="94">
        <v>393.315</v>
      </c>
    </row>
    <row r="8" spans="1:11">
      <c r="B8" s="25" t="s">
        <v>207</v>
      </c>
      <c r="C8" s="95">
        <v>278.07</v>
      </c>
      <c r="D8" s="96">
        <v>344.93599999999998</v>
      </c>
      <c r="E8" s="97">
        <v>206.767</v>
      </c>
      <c r="F8" s="97">
        <v>317.44200000000001</v>
      </c>
      <c r="G8" s="97">
        <v>249.62200000000001</v>
      </c>
      <c r="H8" s="97">
        <v>268.74200000000002</v>
      </c>
      <c r="I8" s="97">
        <v>323.82499999999999</v>
      </c>
      <c r="J8" s="97">
        <v>318.452</v>
      </c>
      <c r="K8" s="97">
        <v>303.85000000000002</v>
      </c>
    </row>
    <row r="9" spans="1:11">
      <c r="A9" s="12"/>
      <c r="B9" s="12" t="s">
        <v>206</v>
      </c>
      <c r="C9" s="91">
        <v>127.54600000000001</v>
      </c>
      <c r="D9" s="92">
        <v>158.244</v>
      </c>
      <c r="E9" s="93">
        <v>157.55000000000001</v>
      </c>
      <c r="F9" s="94">
        <v>136.982</v>
      </c>
      <c r="G9" s="94">
        <v>149.995</v>
      </c>
      <c r="H9" s="94">
        <v>156.92400000000001</v>
      </c>
      <c r="I9" s="94">
        <v>230.05099999999999</v>
      </c>
      <c r="J9" s="94">
        <v>145.80699999999999</v>
      </c>
      <c r="K9" s="94">
        <v>121.637</v>
      </c>
    </row>
    <row r="10" spans="1:11">
      <c r="B10" s="25" t="s">
        <v>205</v>
      </c>
      <c r="C10" s="95"/>
      <c r="D10" s="96"/>
      <c r="E10" s="97">
        <v>121.679</v>
      </c>
      <c r="F10" s="97">
        <v>217.51900000000001</v>
      </c>
      <c r="G10" s="97">
        <v>175.727</v>
      </c>
      <c r="H10" s="97">
        <v>124.604</v>
      </c>
      <c r="I10" s="97">
        <v>156.40600000000001</v>
      </c>
      <c r="J10" s="97">
        <v>169.09899999999999</v>
      </c>
      <c r="K10" s="97">
        <v>120.223</v>
      </c>
    </row>
    <row r="11" spans="1:11">
      <c r="A11" s="14"/>
      <c r="B11" s="14" t="s">
        <v>191</v>
      </c>
      <c r="C11" s="98">
        <v>588.096</v>
      </c>
      <c r="D11" s="99">
        <v>748.99900000000002</v>
      </c>
      <c r="E11" s="100">
        <f t="shared" ref="E11:H11" si="0">SUM(E7:E10)</f>
        <v>828.42700000000002</v>
      </c>
      <c r="F11" s="101">
        <f t="shared" si="0"/>
        <v>1109.2660000000001</v>
      </c>
      <c r="G11" s="101">
        <f t="shared" si="0"/>
        <v>969.99199999999996</v>
      </c>
      <c r="H11" s="101">
        <f t="shared" si="0"/>
        <v>945.11</v>
      </c>
      <c r="I11" s="101">
        <v>1127.421</v>
      </c>
      <c r="J11" s="101">
        <v>1030.4880000000001</v>
      </c>
      <c r="K11" s="101">
        <v>939.02499999999998</v>
      </c>
    </row>
    <row r="12" spans="1:11">
      <c r="B12" s="45"/>
      <c r="C12" s="102"/>
      <c r="D12" s="102"/>
      <c r="E12" s="102"/>
      <c r="F12" s="102"/>
      <c r="G12" s="102"/>
      <c r="H12" s="103"/>
      <c r="I12" s="103"/>
      <c r="J12" s="103"/>
      <c r="K12" s="103"/>
    </row>
    <row r="13" spans="1:11">
      <c r="A13" s="55" t="s">
        <v>272</v>
      </c>
      <c r="C13" s="327" t="s">
        <v>201</v>
      </c>
      <c r="D13" s="328"/>
      <c r="E13" s="329" t="s">
        <v>200</v>
      </c>
      <c r="F13" s="330"/>
      <c r="G13" s="330"/>
      <c r="H13" s="330"/>
      <c r="I13" s="330"/>
      <c r="J13" s="330"/>
      <c r="K13" s="330"/>
    </row>
    <row r="14" spans="1:11">
      <c r="A14" s="14"/>
      <c r="B14" s="14"/>
      <c r="C14" s="105">
        <v>1995</v>
      </c>
      <c r="D14" s="106">
        <v>2000</v>
      </c>
      <c r="E14" s="107">
        <v>2000</v>
      </c>
      <c r="F14" s="108">
        <v>2008</v>
      </c>
      <c r="G14" s="108">
        <v>2010</v>
      </c>
      <c r="H14" s="108">
        <v>2015</v>
      </c>
      <c r="I14" s="108">
        <v>2018</v>
      </c>
      <c r="J14" s="108">
        <v>2019</v>
      </c>
      <c r="K14" s="107">
        <v>2020</v>
      </c>
    </row>
    <row r="15" spans="1:11" ht="16.5" customHeight="1">
      <c r="A15" s="88" t="s">
        <v>209</v>
      </c>
      <c r="B15" s="88"/>
      <c r="C15" s="104"/>
      <c r="D15" s="104"/>
      <c r="E15" s="104"/>
      <c r="F15" s="103"/>
      <c r="G15" s="103"/>
      <c r="H15" s="103"/>
      <c r="I15" s="103"/>
      <c r="J15" s="103"/>
      <c r="K15" s="103"/>
    </row>
    <row r="16" spans="1:11" ht="49.5">
      <c r="A16" s="12"/>
      <c r="B16" s="11" t="s">
        <v>208</v>
      </c>
      <c r="C16" s="109">
        <v>3.8260000000000001</v>
      </c>
      <c r="D16" s="110">
        <v>6.67</v>
      </c>
      <c r="E16" s="111">
        <v>4.9630000000000001</v>
      </c>
      <c r="F16" s="112">
        <v>7.0590000000000002</v>
      </c>
      <c r="G16" s="112">
        <v>6.2389999999999999</v>
      </c>
      <c r="H16" s="112">
        <v>7.4409999999999998</v>
      </c>
      <c r="I16" s="112">
        <v>9.1319999999999997</v>
      </c>
      <c r="J16" s="112">
        <v>9.1609999999999996</v>
      </c>
      <c r="K16" s="112">
        <v>9.0500000000000007</v>
      </c>
    </row>
    <row r="17" spans="1:11">
      <c r="B17" s="25" t="s">
        <v>207</v>
      </c>
      <c r="C17" s="113">
        <v>11.255000000000001</v>
      </c>
      <c r="D17" s="114">
        <v>14.128</v>
      </c>
      <c r="E17" s="115">
        <v>13.308999999999999</v>
      </c>
      <c r="F17" s="115">
        <v>10.836</v>
      </c>
      <c r="G17" s="115">
        <v>9.4420000000000002</v>
      </c>
      <c r="H17" s="115">
        <v>6.8879999999999999</v>
      </c>
      <c r="I17" s="115">
        <v>7.8109999999999999</v>
      </c>
      <c r="J17" s="115">
        <v>7.6769999999999996</v>
      </c>
      <c r="K17" s="115">
        <v>7.2080000000000002</v>
      </c>
    </row>
    <row r="18" spans="1:11">
      <c r="A18" s="12"/>
      <c r="B18" s="12" t="s">
        <v>206</v>
      </c>
      <c r="C18" s="109">
        <v>1.069</v>
      </c>
      <c r="D18" s="110">
        <v>1.028</v>
      </c>
      <c r="E18" s="111">
        <v>1.2390000000000001</v>
      </c>
      <c r="F18" s="112">
        <v>1.663</v>
      </c>
      <c r="G18" s="112">
        <v>1.762</v>
      </c>
      <c r="H18" s="112">
        <v>1.704</v>
      </c>
      <c r="I18" s="112">
        <v>1.8640000000000001</v>
      </c>
      <c r="J18" s="112">
        <v>1.8759999999999999</v>
      </c>
      <c r="K18" s="112">
        <v>1.7829999999999999</v>
      </c>
    </row>
    <row r="19" spans="1:11">
      <c r="B19" s="25" t="s">
        <v>205</v>
      </c>
      <c r="C19" s="113"/>
      <c r="D19" s="114"/>
      <c r="E19" s="115">
        <v>9.6329999999999991</v>
      </c>
      <c r="F19" s="115">
        <v>7.2949999999999999</v>
      </c>
      <c r="G19" s="115">
        <v>6.1669999999999998</v>
      </c>
      <c r="H19" s="115">
        <v>4.0640000000000001</v>
      </c>
      <c r="I19" s="115">
        <v>4.694</v>
      </c>
      <c r="J19" s="115">
        <v>5.0709999999999997</v>
      </c>
      <c r="K19" s="115">
        <v>4.024</v>
      </c>
    </row>
    <row r="20" spans="1:11">
      <c r="A20" s="14"/>
      <c r="B20" s="14" t="s">
        <v>191</v>
      </c>
      <c r="C20" s="116">
        <v>16.149999999999999</v>
      </c>
      <c r="D20" s="117">
        <v>21.826000000000001</v>
      </c>
      <c r="E20" s="118">
        <f t="shared" ref="E20:H20" si="1">SUM(E16:E19)</f>
        <v>29.143999999999998</v>
      </c>
      <c r="F20" s="119">
        <f t="shared" si="1"/>
        <v>26.853000000000002</v>
      </c>
      <c r="G20" s="119">
        <f t="shared" si="1"/>
        <v>23.61</v>
      </c>
      <c r="H20" s="119">
        <f t="shared" si="1"/>
        <v>20.097000000000001</v>
      </c>
      <c r="I20" s="119">
        <f t="shared" ref="I20:K20" si="2">SUM(I16:I19)</f>
        <v>23.500999999999998</v>
      </c>
      <c r="J20" s="119">
        <f t="shared" si="2"/>
        <v>23.785000000000004</v>
      </c>
      <c r="K20" s="119">
        <f t="shared" si="2"/>
        <v>22.065000000000005</v>
      </c>
    </row>
    <row r="21" spans="1:11" ht="3.95" customHeight="1"/>
    <row r="22" spans="1:11">
      <c r="A22" s="25" t="s">
        <v>233</v>
      </c>
    </row>
    <row r="23" spans="1:11" ht="3.95" customHeight="1">
      <c r="B23" s="50"/>
      <c r="C23" s="89"/>
      <c r="D23" s="89"/>
      <c r="E23" s="89"/>
      <c r="F23" s="90"/>
      <c r="G23" s="90"/>
    </row>
    <row r="24" spans="1:11">
      <c r="A24" s="25" t="s">
        <v>18</v>
      </c>
      <c r="C24" s="89"/>
      <c r="D24" s="89"/>
      <c r="E24" s="89"/>
      <c r="F24" s="89"/>
      <c r="G24" s="89"/>
    </row>
    <row r="25" spans="1:11">
      <c r="A25" s="50" t="s">
        <v>268</v>
      </c>
    </row>
    <row r="26" spans="1:11">
      <c r="A26" s="50" t="s">
        <v>269</v>
      </c>
    </row>
  </sheetData>
  <mergeCells count="5">
    <mergeCell ref="C4:D4"/>
    <mergeCell ref="A6:B6"/>
    <mergeCell ref="C13:D13"/>
    <mergeCell ref="E4:K4"/>
    <mergeCell ref="E13:K13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0E44F-7F79-4977-BB40-B42A385B1C0B}">
  <sheetPr codeName="Hoja10">
    <pageSetUpPr fitToPage="1"/>
  </sheetPr>
  <dimension ref="A1:K23"/>
  <sheetViews>
    <sheetView showGridLines="0" workbookViewId="0">
      <selection sqref="A1:K23"/>
    </sheetView>
  </sheetViews>
  <sheetFormatPr baseColWidth="10" defaultColWidth="11.1796875" defaultRowHeight="16.5"/>
  <cols>
    <col min="1" max="1" width="2.08984375" style="25" customWidth="1"/>
    <col min="2" max="2" width="26.08984375" style="25" customWidth="1"/>
    <col min="3" max="11" width="8.36328125" style="25" customWidth="1"/>
    <col min="12" max="16384" width="11.1796875" style="25"/>
  </cols>
  <sheetData>
    <row r="1" spans="1:11">
      <c r="A1" s="25" t="s">
        <v>9</v>
      </c>
    </row>
    <row r="2" spans="1:11">
      <c r="A2" s="45" t="s">
        <v>274</v>
      </c>
    </row>
    <row r="3" spans="1:11">
      <c r="C3" s="314"/>
      <c r="D3" s="314"/>
      <c r="E3" s="314"/>
    </row>
    <row r="4" spans="1:11">
      <c r="C4" s="331" t="s">
        <v>201</v>
      </c>
      <c r="D4" s="318"/>
      <c r="E4" s="331" t="s">
        <v>200</v>
      </c>
      <c r="F4" s="318"/>
      <c r="G4" s="318"/>
      <c r="H4" s="318"/>
      <c r="I4" s="318"/>
      <c r="J4" s="318"/>
      <c r="K4" s="318"/>
    </row>
    <row r="5" spans="1:11">
      <c r="A5" s="14"/>
      <c r="B5" s="14"/>
      <c r="C5" s="120">
        <v>1995</v>
      </c>
      <c r="D5" s="10">
        <v>2000</v>
      </c>
      <c r="E5" s="120">
        <v>2000</v>
      </c>
      <c r="F5" s="10">
        <v>2008</v>
      </c>
      <c r="G5" s="10">
        <v>2010</v>
      </c>
      <c r="H5" s="10">
        <v>2015</v>
      </c>
      <c r="I5" s="10">
        <v>2018</v>
      </c>
      <c r="J5" s="10">
        <v>2019</v>
      </c>
      <c r="K5" s="16">
        <v>2020</v>
      </c>
    </row>
    <row r="6" spans="1:11" ht="15.75" customHeight="1">
      <c r="A6" s="326" t="s">
        <v>204</v>
      </c>
      <c r="B6" s="326"/>
      <c r="C6" s="56"/>
      <c r="D6" s="56"/>
    </row>
    <row r="7" spans="1:11" ht="49.5">
      <c r="A7" s="12"/>
      <c r="B7" s="11" t="s">
        <v>208</v>
      </c>
      <c r="C7" s="121">
        <v>0.76196272712840352</v>
      </c>
      <c r="D7" s="122">
        <v>0.73018302622024778</v>
      </c>
      <c r="E7" s="121">
        <v>1.0859708847245098</v>
      </c>
      <c r="F7" s="122">
        <v>0.80656783542705945</v>
      </c>
      <c r="G7" s="122">
        <v>0.76140165445999775</v>
      </c>
      <c r="H7" s="122">
        <v>0.78659865708061816</v>
      </c>
      <c r="I7" s="122">
        <v>0.74113418284847865</v>
      </c>
      <c r="J7" s="122">
        <v>0.68662347576262184</v>
      </c>
      <c r="K7" s="122">
        <v>0.73274201277392803</v>
      </c>
    </row>
    <row r="8" spans="1:11">
      <c r="B8" s="25" t="s">
        <v>207</v>
      </c>
      <c r="C8" s="123">
        <v>1.161107932554774</v>
      </c>
      <c r="D8" s="124">
        <v>1.0246010777535806</v>
      </c>
      <c r="E8" s="125">
        <v>0.6557319340884229</v>
      </c>
      <c r="F8" s="126">
        <v>0.58546773623531501</v>
      </c>
      <c r="G8" s="126">
        <v>0.48160032177944284</v>
      </c>
      <c r="H8" s="126">
        <v>0.53538672956427791</v>
      </c>
      <c r="I8" s="126">
        <v>0.57534245601803857</v>
      </c>
      <c r="J8" s="126">
        <v>0.55059204568669817</v>
      </c>
      <c r="K8" s="126">
        <v>0.56606958946736852</v>
      </c>
    </row>
    <row r="9" spans="1:11">
      <c r="A9" s="12"/>
      <c r="B9" s="12" t="s">
        <v>206</v>
      </c>
      <c r="C9" s="121">
        <v>0.53258054578210956</v>
      </c>
      <c r="D9" s="122">
        <v>0.47004943800599996</v>
      </c>
      <c r="E9" s="127">
        <v>0.49964726583850921</v>
      </c>
      <c r="F9" s="128">
        <v>0.25263998287871775</v>
      </c>
      <c r="G9" s="128">
        <v>0.2893881158924595</v>
      </c>
      <c r="H9" s="128">
        <v>0.31262336050987471</v>
      </c>
      <c r="I9" s="128">
        <v>0.40873344352476115</v>
      </c>
      <c r="J9" s="128">
        <v>0.25209505484481304</v>
      </c>
      <c r="K9" s="128">
        <v>0.22660854584183743</v>
      </c>
    </row>
    <row r="10" spans="1:11">
      <c r="B10" s="25" t="s">
        <v>205</v>
      </c>
      <c r="C10" s="123"/>
      <c r="D10" s="124"/>
      <c r="E10" s="125">
        <v>0.38588752561068834</v>
      </c>
      <c r="F10" s="126">
        <v>0.40117677093191667</v>
      </c>
      <c r="G10" s="126">
        <v>0.33903333738747449</v>
      </c>
      <c r="H10" s="126">
        <v>0.24823558673607876</v>
      </c>
      <c r="I10" s="126">
        <v>0.27788778561246763</v>
      </c>
      <c r="J10" s="126">
        <v>0.29236608447607482</v>
      </c>
      <c r="K10" s="126">
        <v>0.22397427761900754</v>
      </c>
    </row>
    <row r="11" spans="1:11">
      <c r="A11" s="14"/>
      <c r="B11" s="14" t="s">
        <v>4</v>
      </c>
      <c r="C11" s="129">
        <v>2.7244551870462326</v>
      </c>
      <c r="D11" s="130">
        <v>2.596194103767385</v>
      </c>
      <c r="E11" s="129">
        <v>2.6272376102621302</v>
      </c>
      <c r="F11" s="130">
        <v>2.045852325473009</v>
      </c>
      <c r="G11" s="130">
        <v>1.8714234295193743</v>
      </c>
      <c r="H11" s="130">
        <v>1.8828443338908494</v>
      </c>
      <c r="I11" s="130">
        <v>2.0030978680037461</v>
      </c>
      <c r="J11" s="130">
        <v>1.7816766607702079</v>
      </c>
      <c r="K11" s="130">
        <v>1.7493944257021414</v>
      </c>
    </row>
    <row r="12" spans="1:11" ht="20.100000000000001" customHeight="1">
      <c r="A12" s="326" t="s">
        <v>203</v>
      </c>
      <c r="B12" s="326"/>
      <c r="C12" s="124"/>
      <c r="D12" s="124"/>
      <c r="E12" s="131"/>
      <c r="F12" s="131"/>
      <c r="G12" s="131"/>
      <c r="H12" s="131"/>
      <c r="I12" s="131"/>
      <c r="J12" s="131"/>
      <c r="K12" s="131"/>
    </row>
    <row r="13" spans="1:11" ht="49.5">
      <c r="A13" s="12"/>
      <c r="B13" s="11" t="s">
        <v>208</v>
      </c>
      <c r="C13" s="121">
        <v>0.38288563268198078</v>
      </c>
      <c r="D13" s="122">
        <v>0.61477034134040209</v>
      </c>
      <c r="E13" s="121">
        <v>0.47868579866646993</v>
      </c>
      <c r="F13" s="122">
        <v>0.59862212603713671</v>
      </c>
      <c r="G13" s="122">
        <v>0.58047900915703543</v>
      </c>
      <c r="H13" s="122">
        <v>0.78265680483330813</v>
      </c>
      <c r="I13" s="122">
        <v>0.90884843369944701</v>
      </c>
      <c r="J13" s="122">
        <v>0.88781337796466775</v>
      </c>
      <c r="K13" s="122">
        <v>0.95672940203883794</v>
      </c>
    </row>
    <row r="14" spans="1:11">
      <c r="B14" s="25" t="s">
        <v>207</v>
      </c>
      <c r="C14" s="123">
        <v>1.1263402498263704</v>
      </c>
      <c r="D14" s="124">
        <v>1.3021702222574514</v>
      </c>
      <c r="E14" s="123">
        <v>1.2836649797404891</v>
      </c>
      <c r="F14" s="124">
        <v>0.91892185263329296</v>
      </c>
      <c r="G14" s="124">
        <v>0.87848738651398128</v>
      </c>
      <c r="H14" s="124">
        <v>0.72449134144494365</v>
      </c>
      <c r="I14" s="124">
        <v>0.77737791454515781</v>
      </c>
      <c r="J14" s="124">
        <v>0.74399555754118041</v>
      </c>
      <c r="K14" s="124">
        <v>0.76200061103822581</v>
      </c>
    </row>
    <row r="15" spans="1:11">
      <c r="A15" s="12"/>
      <c r="B15" s="12" t="s">
        <v>206</v>
      </c>
      <c r="C15" s="121">
        <v>0.10697980693597423</v>
      </c>
      <c r="D15" s="122">
        <v>9.4750211528925529E-2</v>
      </c>
      <c r="E15" s="121">
        <v>0.11950266059797628</v>
      </c>
      <c r="F15" s="122">
        <v>0.14102685870516482</v>
      </c>
      <c r="G15" s="122">
        <v>0.16393717168371477</v>
      </c>
      <c r="H15" s="122">
        <v>0.17922956530519515</v>
      </c>
      <c r="I15" s="122">
        <v>0.1855117696469305</v>
      </c>
      <c r="J15" s="122">
        <v>0.18180743336554051</v>
      </c>
      <c r="K15" s="122">
        <v>0.18849154959505504</v>
      </c>
    </row>
    <row r="16" spans="1:11">
      <c r="B16" s="25" t="s">
        <v>205</v>
      </c>
      <c r="C16" s="123"/>
      <c r="D16" s="124"/>
      <c r="E16" s="123">
        <v>0.92911148469758298</v>
      </c>
      <c r="F16" s="124">
        <v>0.61863555878182641</v>
      </c>
      <c r="G16" s="124">
        <v>0.57378010089300169</v>
      </c>
      <c r="H16" s="124">
        <v>0.42745830598609919</v>
      </c>
      <c r="I16" s="124">
        <v>0.46716322249071446</v>
      </c>
      <c r="J16" s="124">
        <v>0.49144216129885709</v>
      </c>
      <c r="K16" s="124">
        <v>0.42540100705019712</v>
      </c>
    </row>
    <row r="17" spans="1:11">
      <c r="A17" s="14"/>
      <c r="B17" s="14" t="s">
        <v>4</v>
      </c>
      <c r="C17" s="129">
        <v>2.1491032310103337</v>
      </c>
      <c r="D17" s="130">
        <v>2.6246177271378244</v>
      </c>
      <c r="E17" s="129">
        <v>2.8109649237025178</v>
      </c>
      <c r="F17" s="130">
        <v>2.2772063961574207</v>
      </c>
      <c r="G17" s="130">
        <v>2.1966836682477333</v>
      </c>
      <c r="H17" s="130">
        <v>2.1138360175695463</v>
      </c>
      <c r="I17" s="130">
        <v>2.3389013403822498</v>
      </c>
      <c r="J17" s="130">
        <v>2.3050585301702458</v>
      </c>
      <c r="K17" s="130">
        <v>2.3326225697223157</v>
      </c>
    </row>
    <row r="18" spans="1:11" ht="3.95" customHeight="1">
      <c r="C18" s="131"/>
      <c r="D18" s="131"/>
      <c r="E18" s="131"/>
      <c r="F18" s="131"/>
      <c r="G18" s="131"/>
      <c r="H18" s="131"/>
      <c r="I18" s="131"/>
      <c r="J18" s="131"/>
      <c r="K18" s="131"/>
    </row>
    <row r="19" spans="1:11" ht="13.5" customHeight="1">
      <c r="A19" s="25" t="s">
        <v>233</v>
      </c>
    </row>
    <row r="20" spans="1:11" ht="3.95" customHeight="1"/>
    <row r="21" spans="1:11">
      <c r="A21" s="25" t="s">
        <v>18</v>
      </c>
    </row>
    <row r="22" spans="1:11">
      <c r="A22" s="50" t="s">
        <v>266</v>
      </c>
    </row>
    <row r="23" spans="1:11">
      <c r="A23" s="50" t="s">
        <v>267</v>
      </c>
    </row>
  </sheetData>
  <mergeCells count="5">
    <mergeCell ref="C3:E3"/>
    <mergeCell ref="C4:D4"/>
    <mergeCell ref="A12:B12"/>
    <mergeCell ref="A6:B6"/>
    <mergeCell ref="E4:K4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C1</vt:lpstr>
      <vt:lpstr>C 2</vt:lpstr>
      <vt:lpstr>C 3</vt:lpstr>
      <vt:lpstr>C 4</vt:lpstr>
      <vt:lpstr>C 5</vt:lpstr>
      <vt:lpstr>C 6</vt:lpstr>
      <vt:lpstr>C 7</vt:lpstr>
      <vt:lpstr>C 8</vt:lpstr>
      <vt:lpstr>C 9</vt:lpstr>
      <vt:lpstr>C 10</vt:lpstr>
      <vt:lpstr>C 11</vt:lpstr>
      <vt:lpstr>C 12</vt:lpstr>
      <vt:lpstr>C 13</vt:lpstr>
      <vt:lpstr>C 14</vt:lpstr>
      <vt:lpstr>C 15</vt:lpstr>
      <vt:lpstr>C 16</vt:lpstr>
      <vt:lpstr>C 17</vt:lpstr>
      <vt:lpstr>C 18</vt:lpstr>
      <vt:lpstr>C 19</vt:lpstr>
      <vt:lpstr>C 20</vt:lpstr>
      <vt:lpstr>C 21</vt:lpstr>
      <vt:lpstr>C 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Sande</dc:creator>
  <cp:lastModifiedBy>Manuel López Sande</cp:lastModifiedBy>
  <cp:lastPrinted>2023-05-02T16:45:39Z</cp:lastPrinted>
  <dcterms:created xsi:type="dcterms:W3CDTF">2017-05-30T18:39:23Z</dcterms:created>
  <dcterms:modified xsi:type="dcterms:W3CDTF">2023-05-19T20:06:09Z</dcterms:modified>
</cp:coreProperties>
</file>